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e09c822f254df3/Documents - Job/_IGES/corrigenda/AFOLU_Supplemental Information Chapter 10/to publish/"/>
    </mc:Choice>
  </mc:AlternateContent>
  <xr:revisionPtr revIDLastSave="3" documentId="11_DEFD4C843CD9390C3E2CE4B07E9B5F6FA819F7AF" xr6:coauthVersionLast="47" xr6:coauthVersionMax="47" xr10:uidLastSave="{356E2186-6CF0-44D7-8366-1C1BCA7B49C0}"/>
  <bookViews>
    <workbookView xWindow="28680" yWindow="-120" windowWidth="38640" windowHeight="15840" tabRatio="767" activeTab="2" xr2:uid="{00000000-000D-0000-FFFF-FFFF00000000}"/>
  </bookViews>
  <sheets>
    <sheet name="Enteric_19" sheetId="17" r:id="rId1"/>
    <sheet name="VS_19" sheetId="23" r:id="rId2"/>
    <sheet name="Nex_19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7" l="1"/>
  <c r="C30" i="17" l="1"/>
  <c r="C5" i="23" l="1"/>
  <c r="B20" i="18" l="1"/>
  <c r="M16" i="17" l="1"/>
  <c r="G21" i="18"/>
  <c r="G20" i="18"/>
  <c r="M18" i="17"/>
  <c r="J18" i="17"/>
  <c r="H18" i="17"/>
  <c r="G18" i="17"/>
  <c r="C18" i="17"/>
  <c r="B19" i="18" s="1"/>
  <c r="G4" i="18" l="1"/>
  <c r="R6" i="17"/>
  <c r="R7" i="17"/>
  <c r="R8" i="17"/>
  <c r="R9" i="17"/>
  <c r="R10" i="17"/>
  <c r="R11" i="17"/>
  <c r="R12" i="17"/>
  <c r="R15" i="17"/>
  <c r="R18" i="17"/>
  <c r="R21" i="17"/>
  <c r="R5" i="17"/>
  <c r="D4" i="23"/>
  <c r="B14" i="23"/>
  <c r="B17" i="23" s="1"/>
  <c r="B20" i="23" s="1"/>
  <c r="B23" i="23" s="1"/>
  <c r="B15" i="23"/>
  <c r="B18" i="23" s="1"/>
  <c r="B21" i="23" s="1"/>
  <c r="B24" i="23" s="1"/>
  <c r="J48" i="17" l="1"/>
  <c r="J47" i="17"/>
  <c r="J45" i="17"/>
  <c r="J44" i="17"/>
  <c r="J42" i="17"/>
  <c r="J41" i="17"/>
  <c r="J39" i="17"/>
  <c r="J38" i="17"/>
  <c r="J36" i="17"/>
  <c r="J35" i="17"/>
  <c r="J33" i="17"/>
  <c r="J32" i="17"/>
  <c r="J31" i="17"/>
  <c r="J30" i="17"/>
  <c r="I33" i="17"/>
  <c r="I32" i="17"/>
  <c r="I31" i="17"/>
  <c r="I36" i="17"/>
  <c r="I35" i="17"/>
  <c r="I39" i="17"/>
  <c r="I38" i="17"/>
  <c r="I42" i="17"/>
  <c r="I41" i="17"/>
  <c r="I45" i="17"/>
  <c r="I44" i="17"/>
  <c r="I48" i="17"/>
  <c r="I47" i="17"/>
  <c r="I30" i="17"/>
  <c r="N9" i="17" l="1"/>
  <c r="Q10" i="17" l="1"/>
  <c r="E6" i="23" l="1"/>
  <c r="E7" i="23"/>
  <c r="E8" i="23"/>
  <c r="E9" i="23"/>
  <c r="E11" i="23"/>
  <c r="E12" i="23"/>
  <c r="E14" i="23"/>
  <c r="E15" i="23"/>
  <c r="E17" i="23"/>
  <c r="E18" i="23"/>
  <c r="E20" i="23"/>
  <c r="E21" i="23"/>
  <c r="E23" i="23"/>
  <c r="E24" i="23"/>
  <c r="B6" i="18"/>
  <c r="C6" i="23" s="1"/>
  <c r="E6" i="18"/>
  <c r="G6" i="18"/>
  <c r="H6" i="18"/>
  <c r="B7" i="18"/>
  <c r="C7" i="23" s="1"/>
  <c r="E7" i="18"/>
  <c r="G7" i="18"/>
  <c r="H7" i="18"/>
  <c r="B8" i="18"/>
  <c r="C8" i="23" s="1"/>
  <c r="E8" i="18"/>
  <c r="G8" i="18"/>
  <c r="H8" i="18"/>
  <c r="B9" i="18"/>
  <c r="C9" i="23" s="1"/>
  <c r="E9" i="18"/>
  <c r="G9" i="18"/>
  <c r="H9" i="18"/>
  <c r="A11" i="18"/>
  <c r="B11" i="18"/>
  <c r="C11" i="23" s="1"/>
  <c r="E11" i="18"/>
  <c r="G11" i="18"/>
  <c r="H11" i="18"/>
  <c r="A12" i="18"/>
  <c r="A15" i="18" s="1"/>
  <c r="B12" i="18"/>
  <c r="C12" i="23" s="1"/>
  <c r="E12" i="18"/>
  <c r="G12" i="18"/>
  <c r="H12" i="18"/>
  <c r="B14" i="18"/>
  <c r="C14" i="23" s="1"/>
  <c r="E14" i="18"/>
  <c r="G14" i="18"/>
  <c r="H14" i="18"/>
  <c r="B15" i="18"/>
  <c r="C15" i="23" s="1"/>
  <c r="E15" i="18"/>
  <c r="G15" i="18"/>
  <c r="H15" i="18"/>
  <c r="B17" i="18"/>
  <c r="C17" i="23" s="1"/>
  <c r="G17" i="18"/>
  <c r="H17" i="18"/>
  <c r="B18" i="18"/>
  <c r="C18" i="23" s="1"/>
  <c r="G18" i="18"/>
  <c r="H18" i="18"/>
  <c r="A19" i="18"/>
  <c r="C20" i="23"/>
  <c r="E20" i="18"/>
  <c r="H20" i="18"/>
  <c r="I20" i="18" s="1"/>
  <c r="B21" i="18"/>
  <c r="C21" i="23" s="1"/>
  <c r="E21" i="18"/>
  <c r="H21" i="18"/>
  <c r="I21" i="18" s="1"/>
  <c r="B23" i="18"/>
  <c r="C23" i="23" s="1"/>
  <c r="E23" i="18"/>
  <c r="G23" i="18"/>
  <c r="H23" i="18"/>
  <c r="B24" i="18"/>
  <c r="C24" i="23" s="1"/>
  <c r="E24" i="18"/>
  <c r="G24" i="18"/>
  <c r="H24" i="18"/>
  <c r="O4" i="17"/>
  <c r="Q5" i="17"/>
  <c r="Q7" i="17"/>
  <c r="Q8" i="17"/>
  <c r="C9" i="17"/>
  <c r="B10" i="18" s="1"/>
  <c r="C10" i="23" s="1"/>
  <c r="F9" i="17"/>
  <c r="G10" i="18" s="1"/>
  <c r="G9" i="17"/>
  <c r="H9" i="17"/>
  <c r="H10" i="18" s="1"/>
  <c r="J9" i="17"/>
  <c r="K9" i="17"/>
  <c r="M9" i="17"/>
  <c r="E10" i="18" s="1"/>
  <c r="Q11" i="17"/>
  <c r="C12" i="17"/>
  <c r="B13" i="18" s="1"/>
  <c r="C13" i="23" s="1"/>
  <c r="F12" i="17"/>
  <c r="G13" i="18" s="1"/>
  <c r="G12" i="17"/>
  <c r="H12" i="17"/>
  <c r="H13" i="18" s="1"/>
  <c r="J12" i="17"/>
  <c r="K12" i="17"/>
  <c r="M12" i="17"/>
  <c r="E13" i="18" s="1"/>
  <c r="N12" i="17"/>
  <c r="B13" i="17"/>
  <c r="Q13" i="17"/>
  <c r="B14" i="17"/>
  <c r="Q14" i="17"/>
  <c r="C15" i="17"/>
  <c r="B16" i="18" s="1"/>
  <c r="C16" i="23" s="1"/>
  <c r="F15" i="17"/>
  <c r="G16" i="18" s="1"/>
  <c r="G15" i="17"/>
  <c r="H15" i="17"/>
  <c r="H16" i="18" s="1"/>
  <c r="I15" i="17"/>
  <c r="J15" i="17"/>
  <c r="K15" i="17"/>
  <c r="J40" i="17" s="1"/>
  <c r="N15" i="17"/>
  <c r="Q16" i="17"/>
  <c r="M17" i="17"/>
  <c r="E18" i="18" s="1"/>
  <c r="Q17" i="17"/>
  <c r="C19" i="23"/>
  <c r="F18" i="17"/>
  <c r="H19" i="18"/>
  <c r="K18" i="17"/>
  <c r="E19" i="18"/>
  <c r="N18" i="17"/>
  <c r="Q19" i="17"/>
  <c r="Q20" i="17"/>
  <c r="C21" i="17"/>
  <c r="C46" i="17" s="1"/>
  <c r="D46" i="17" s="1"/>
  <c r="F21" i="17"/>
  <c r="Q21" i="17" s="1"/>
  <c r="G21" i="17"/>
  <c r="H21" i="17"/>
  <c r="H22" i="18" s="1"/>
  <c r="J21" i="17"/>
  <c r="K21" i="17"/>
  <c r="M21" i="17"/>
  <c r="E22" i="18" s="1"/>
  <c r="N21" i="17"/>
  <c r="Q22" i="17"/>
  <c r="Q23" i="17"/>
  <c r="G30" i="17"/>
  <c r="D30" i="17"/>
  <c r="E30" i="17"/>
  <c r="F30" i="17"/>
  <c r="C31" i="17"/>
  <c r="G31" i="17" s="1"/>
  <c r="D31" i="17"/>
  <c r="E31" i="17"/>
  <c r="F31" i="17"/>
  <c r="C32" i="17"/>
  <c r="H32" i="17" s="1"/>
  <c r="D32" i="17"/>
  <c r="E32" i="17"/>
  <c r="F32" i="17"/>
  <c r="C33" i="17"/>
  <c r="G33" i="17" s="1"/>
  <c r="E33" i="17"/>
  <c r="F33" i="17"/>
  <c r="E34" i="17"/>
  <c r="B35" i="17"/>
  <c r="B44" i="17" s="1"/>
  <c r="B47" i="17" s="1"/>
  <c r="C35" i="17"/>
  <c r="D35" i="17" s="1"/>
  <c r="E35" i="17"/>
  <c r="F35" i="17"/>
  <c r="B36" i="17"/>
  <c r="B45" i="17" s="1"/>
  <c r="B48" i="17" s="1"/>
  <c r="C36" i="17"/>
  <c r="D36" i="17" s="1"/>
  <c r="E36" i="17"/>
  <c r="F36" i="17"/>
  <c r="D37" i="17"/>
  <c r="E37" i="17"/>
  <c r="C38" i="17"/>
  <c r="G38" i="17" s="1"/>
  <c r="D38" i="17"/>
  <c r="E38" i="17"/>
  <c r="F38" i="17"/>
  <c r="C39" i="17"/>
  <c r="G39" i="17" s="1"/>
  <c r="D39" i="17"/>
  <c r="E39" i="17"/>
  <c r="F39" i="17"/>
  <c r="C41" i="17"/>
  <c r="D41" i="17" s="1"/>
  <c r="E41" i="17"/>
  <c r="F41" i="17"/>
  <c r="C42" i="17"/>
  <c r="H42" i="17" s="1"/>
  <c r="D42" i="17"/>
  <c r="E42" i="17"/>
  <c r="F42" i="17"/>
  <c r="E43" i="17"/>
  <c r="C44" i="17"/>
  <c r="G44" i="17" s="1"/>
  <c r="E44" i="17"/>
  <c r="F44" i="17"/>
  <c r="C45" i="17"/>
  <c r="H45" i="17" s="1"/>
  <c r="D45" i="17"/>
  <c r="E45" i="17"/>
  <c r="F45" i="17"/>
  <c r="E46" i="17"/>
  <c r="C47" i="17"/>
  <c r="D47" i="17" s="1"/>
  <c r="E47" i="17"/>
  <c r="F47" i="17"/>
  <c r="C48" i="17"/>
  <c r="H48" i="17" s="1"/>
  <c r="D48" i="17"/>
  <c r="E48" i="17"/>
  <c r="F48" i="17"/>
  <c r="I17" i="18" l="1"/>
  <c r="J17" i="18" s="1"/>
  <c r="J20" i="18"/>
  <c r="I43" i="17"/>
  <c r="J43" i="17"/>
  <c r="Q18" i="17"/>
  <c r="G19" i="18"/>
  <c r="I19" i="18" s="1"/>
  <c r="F43" i="17"/>
  <c r="I6" i="18"/>
  <c r="B38" i="17"/>
  <c r="R13" i="17"/>
  <c r="B39" i="17"/>
  <c r="R14" i="17"/>
  <c r="C37" i="17"/>
  <c r="G37" i="17" s="1"/>
  <c r="H30" i="17"/>
  <c r="K30" i="17" s="1"/>
  <c r="Q12" i="17"/>
  <c r="I40" i="17"/>
  <c r="J34" i="17"/>
  <c r="I34" i="17"/>
  <c r="E22" i="23"/>
  <c r="I46" i="17"/>
  <c r="J46" i="17"/>
  <c r="E19" i="23"/>
  <c r="E13" i="23"/>
  <c r="J37" i="17"/>
  <c r="I37" i="17"/>
  <c r="I8" i="18"/>
  <c r="I13" i="18"/>
  <c r="M15" i="17"/>
  <c r="E16" i="18" s="1"/>
  <c r="F40" i="17"/>
  <c r="Q15" i="17"/>
  <c r="G45" i="17"/>
  <c r="K45" i="17" s="1"/>
  <c r="D21" i="18" s="1"/>
  <c r="C21" i="18" s="1"/>
  <c r="F21" i="18" s="1"/>
  <c r="D33" i="17"/>
  <c r="H41" i="17"/>
  <c r="G42" i="17"/>
  <c r="K42" i="17" s="1"/>
  <c r="N42" i="17" s="1"/>
  <c r="G41" i="17"/>
  <c r="C40" i="17"/>
  <c r="B17" i="17"/>
  <c r="F37" i="17"/>
  <c r="H44" i="17"/>
  <c r="H39" i="17"/>
  <c r="K39" i="17" s="1"/>
  <c r="D15" i="18" s="1"/>
  <c r="C15" i="18" s="1"/>
  <c r="F15" i="18" s="1"/>
  <c r="I16" i="18"/>
  <c r="I14" i="18"/>
  <c r="H46" i="17"/>
  <c r="G46" i="17"/>
  <c r="G22" i="18"/>
  <c r="I22" i="18" s="1"/>
  <c r="B16" i="17"/>
  <c r="F34" i="17"/>
  <c r="E16" i="23"/>
  <c r="G32" i="17"/>
  <c r="K32" i="17" s="1"/>
  <c r="L32" i="17" s="1"/>
  <c r="O7" i="17" s="1"/>
  <c r="F46" i="17"/>
  <c r="H33" i="17"/>
  <c r="B22" i="18"/>
  <c r="C22" i="23" s="1"/>
  <c r="H36" i="17"/>
  <c r="E17" i="18"/>
  <c r="G47" i="17"/>
  <c r="G36" i="17"/>
  <c r="G35" i="17"/>
  <c r="J21" i="18"/>
  <c r="I9" i="18"/>
  <c r="G48" i="17"/>
  <c r="K48" i="17" s="1"/>
  <c r="D44" i="17"/>
  <c r="H38" i="17"/>
  <c r="K38" i="17" s="1"/>
  <c r="N38" i="17" s="1"/>
  <c r="I18" i="18"/>
  <c r="H47" i="17"/>
  <c r="H35" i="17"/>
  <c r="H31" i="17"/>
  <c r="K31" i="17" s="1"/>
  <c r="I7" i="18"/>
  <c r="E10" i="23"/>
  <c r="C34" i="17"/>
  <c r="H34" i="17" s="1"/>
  <c r="Q9" i="17"/>
  <c r="I11" i="18"/>
  <c r="I12" i="18"/>
  <c r="I23" i="18"/>
  <c r="I15" i="18"/>
  <c r="I24" i="18"/>
  <c r="I10" i="18"/>
  <c r="A18" i="18"/>
  <c r="A14" i="18"/>
  <c r="C43" i="17"/>
  <c r="D43" i="17" s="1"/>
  <c r="J19" i="18" l="1"/>
  <c r="J9" i="18"/>
  <c r="J10" i="18"/>
  <c r="J24" i="18"/>
  <c r="J7" i="18"/>
  <c r="J14" i="18"/>
  <c r="J8" i="18"/>
  <c r="J22" i="18"/>
  <c r="J15" i="18"/>
  <c r="K15" i="18" s="1"/>
  <c r="L15" i="18" s="1"/>
  <c r="M15" i="18"/>
  <c r="J23" i="18"/>
  <c r="J12" i="18"/>
  <c r="J16" i="18"/>
  <c r="J13" i="18"/>
  <c r="J11" i="18"/>
  <c r="J6" i="18"/>
  <c r="J18" i="18"/>
  <c r="M21" i="18"/>
  <c r="H40" i="17"/>
  <c r="D40" i="17"/>
  <c r="H43" i="17"/>
  <c r="B20" i="17"/>
  <c r="R17" i="17"/>
  <c r="B19" i="17"/>
  <c r="R16" i="17"/>
  <c r="H37" i="17"/>
  <c r="K37" i="17" s="1"/>
  <c r="L37" i="17" s="1"/>
  <c r="O12" i="17" s="1"/>
  <c r="K41" i="17"/>
  <c r="L41" i="17" s="1"/>
  <c r="K33" i="17"/>
  <c r="L33" i="17" s="1"/>
  <c r="O8" i="17" s="1"/>
  <c r="K35" i="17"/>
  <c r="D11" i="18" s="1"/>
  <c r="C11" i="18" s="1"/>
  <c r="F11" i="18" s="1"/>
  <c r="D8" i="23"/>
  <c r="G8" i="23" s="1"/>
  <c r="K44" i="17"/>
  <c r="D20" i="18" s="1"/>
  <c r="D8" i="18"/>
  <c r="C8" i="18" s="1"/>
  <c r="F8" i="18" s="1"/>
  <c r="N32" i="17"/>
  <c r="L42" i="17"/>
  <c r="O17" i="17" s="1"/>
  <c r="D18" i="18"/>
  <c r="C18" i="18" s="1"/>
  <c r="F18" i="18" s="1"/>
  <c r="D18" i="23"/>
  <c r="G18" i="23" s="1"/>
  <c r="N39" i="17"/>
  <c r="L39" i="17"/>
  <c r="O14" i="17" s="1"/>
  <c r="G40" i="17"/>
  <c r="K47" i="17"/>
  <c r="D23" i="23" s="1"/>
  <c r="G23" i="23" s="1"/>
  <c r="K36" i="17"/>
  <c r="D12" i="18" s="1"/>
  <c r="C12" i="18" s="1"/>
  <c r="F12" i="18" s="1"/>
  <c r="K46" i="17"/>
  <c r="D22" i="18" s="1"/>
  <c r="C22" i="18" s="1"/>
  <c r="F22" i="18" s="1"/>
  <c r="N45" i="17"/>
  <c r="L45" i="17"/>
  <c r="O20" i="17" s="1"/>
  <c r="D15" i="23"/>
  <c r="G15" i="23" s="1"/>
  <c r="D21" i="23"/>
  <c r="G21" i="23" s="1"/>
  <c r="D7" i="23"/>
  <c r="G7" i="23" s="1"/>
  <c r="L31" i="17"/>
  <c r="O6" i="17" s="1"/>
  <c r="D7" i="18"/>
  <c r="C7" i="18" s="1"/>
  <c r="F7" i="18" s="1"/>
  <c r="N31" i="17"/>
  <c r="L38" i="17"/>
  <c r="O13" i="17" s="1"/>
  <c r="D14" i="23"/>
  <c r="G14" i="23" s="1"/>
  <c r="D14" i="18"/>
  <c r="C14" i="18" s="1"/>
  <c r="F14" i="18" s="1"/>
  <c r="D24" i="23"/>
  <c r="G24" i="23" s="1"/>
  <c r="L48" i="17"/>
  <c r="O23" i="17" s="1"/>
  <c r="N48" i="17"/>
  <c r="D24" i="18"/>
  <c r="C24" i="18" s="1"/>
  <c r="F24" i="18" s="1"/>
  <c r="K24" i="18" s="1"/>
  <c r="D6" i="23"/>
  <c r="G6" i="23" s="1"/>
  <c r="H6" i="23" s="1"/>
  <c r="L30" i="17"/>
  <c r="O5" i="17" s="1"/>
  <c r="N30" i="17"/>
  <c r="D6" i="18"/>
  <c r="G34" i="17"/>
  <c r="D34" i="17"/>
  <c r="K21" i="18"/>
  <c r="L21" i="18" s="1"/>
  <c r="A17" i="18"/>
  <c r="A21" i="18"/>
  <c r="G43" i="17"/>
  <c r="M7" i="18" l="1"/>
  <c r="M8" i="18"/>
  <c r="M12" i="18"/>
  <c r="K12" i="18"/>
  <c r="M18" i="18"/>
  <c r="M22" i="18"/>
  <c r="M24" i="18"/>
  <c r="C6" i="18"/>
  <c r="M6" i="18" s="1"/>
  <c r="M11" i="18"/>
  <c r="M14" i="18"/>
  <c r="C20" i="18"/>
  <c r="D17" i="18"/>
  <c r="C17" i="18" s="1"/>
  <c r="N41" i="17"/>
  <c r="L44" i="17"/>
  <c r="O19" i="17" s="1"/>
  <c r="B23" i="17"/>
  <c r="R23" i="17" s="1"/>
  <c r="R20" i="17"/>
  <c r="B22" i="17"/>
  <c r="R22" i="17" s="1"/>
  <c r="R19" i="17"/>
  <c r="D9" i="23"/>
  <c r="N33" i="17"/>
  <c r="D11" i="23"/>
  <c r="G11" i="23" s="1"/>
  <c r="D17" i="23"/>
  <c r="G17" i="23" s="1"/>
  <c r="O16" i="17"/>
  <c r="D15" i="17" s="1"/>
  <c r="E40" i="17" s="1"/>
  <c r="K40" i="17" s="1"/>
  <c r="D9" i="18"/>
  <c r="L35" i="17"/>
  <c r="O10" i="17" s="1"/>
  <c r="N35" i="17"/>
  <c r="D13" i="23"/>
  <c r="N37" i="17"/>
  <c r="D13" i="18"/>
  <c r="C13" i="18" s="1"/>
  <c r="K8" i="18"/>
  <c r="L8" i="18" s="1"/>
  <c r="L46" i="17"/>
  <c r="O21" i="17" s="1"/>
  <c r="N47" i="17"/>
  <c r="D23" i="18"/>
  <c r="C23" i="18" s="1"/>
  <c r="L47" i="17"/>
  <c r="O22" i="17" s="1"/>
  <c r="N44" i="17"/>
  <c r="D20" i="23"/>
  <c r="G20" i="23" s="1"/>
  <c r="K11" i="18"/>
  <c r="L11" i="18" s="1"/>
  <c r="K18" i="18"/>
  <c r="L18" i="18" s="1"/>
  <c r="N46" i="17"/>
  <c r="D22" i="23"/>
  <c r="G22" i="23" s="1"/>
  <c r="D12" i="23"/>
  <c r="L36" i="17"/>
  <c r="O11" i="17" s="1"/>
  <c r="N36" i="17"/>
  <c r="K34" i="17"/>
  <c r="N34" i="17" s="1"/>
  <c r="K14" i="18"/>
  <c r="K22" i="18"/>
  <c r="K7" i="18"/>
  <c r="K43" i="17"/>
  <c r="D19" i="18" s="1"/>
  <c r="C19" i="18" s="1"/>
  <c r="L12" i="18"/>
  <c r="L24" i="18"/>
  <c r="A20" i="18"/>
  <c r="A24" i="18"/>
  <c r="H14" i="23"/>
  <c r="F19" i="18" l="1"/>
  <c r="M19" i="18"/>
  <c r="F23" i="18"/>
  <c r="K23" i="18" s="1"/>
  <c r="M23" i="18"/>
  <c r="C9" i="18"/>
  <c r="M9" i="18" s="1"/>
  <c r="F6" i="18"/>
  <c r="K6" i="18" s="1"/>
  <c r="L6" i="18" s="1"/>
  <c r="F13" i="18"/>
  <c r="K13" i="18" s="1"/>
  <c r="M13" i="18"/>
  <c r="F17" i="18"/>
  <c r="K17" i="18" s="1"/>
  <c r="M17" i="18"/>
  <c r="F20" i="18"/>
  <c r="K20" i="18" s="1"/>
  <c r="L20" i="18" s="1"/>
  <c r="M20" i="18"/>
  <c r="G12" i="23"/>
  <c r="H12" i="23" s="1"/>
  <c r="G13" i="23"/>
  <c r="H13" i="23" s="1"/>
  <c r="G9" i="23"/>
  <c r="H9" i="23" s="1"/>
  <c r="D19" i="23"/>
  <c r="L43" i="17"/>
  <c r="O18" i="17" s="1"/>
  <c r="H11" i="23"/>
  <c r="H8" i="23"/>
  <c r="D16" i="23"/>
  <c r="G16" i="23" s="1"/>
  <c r="L40" i="17"/>
  <c r="O15" i="17" s="1"/>
  <c r="D16" i="18"/>
  <c r="C16" i="18" s="1"/>
  <c r="N40" i="17"/>
  <c r="H17" i="23"/>
  <c r="H18" i="23"/>
  <c r="D10" i="23"/>
  <c r="G10" i="23" s="1"/>
  <c r="H21" i="23"/>
  <c r="H15" i="23"/>
  <c r="H7" i="23"/>
  <c r="J7" i="23" s="1"/>
  <c r="H22" i="23"/>
  <c r="L22" i="18"/>
  <c r="N43" i="17"/>
  <c r="H24" i="23"/>
  <c r="L34" i="17"/>
  <c r="O9" i="17" s="1"/>
  <c r="L14" i="18"/>
  <c r="H23" i="23"/>
  <c r="H20" i="23"/>
  <c r="D10" i="18"/>
  <c r="C10" i="18" s="1"/>
  <c r="L7" i="18"/>
  <c r="A23" i="18"/>
  <c r="F9" i="18" l="1"/>
  <c r="K9" i="18" s="1"/>
  <c r="F10" i="18"/>
  <c r="K10" i="18" s="1"/>
  <c r="M10" i="18"/>
  <c r="F16" i="18"/>
  <c r="K16" i="18" s="1"/>
  <c r="L16" i="18" s="1"/>
  <c r="M16" i="18"/>
  <c r="G19" i="23"/>
  <c r="H19" i="23" s="1"/>
  <c r="L17" i="18"/>
  <c r="L9" i="18"/>
  <c r="L13" i="18"/>
  <c r="H16" i="23"/>
  <c r="L23" i="18"/>
  <c r="K19" i="18" l="1"/>
  <c r="L19" i="18" s="1"/>
  <c r="H10" i="23"/>
  <c r="L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</author>
  </authors>
  <commentList>
    <comment ref="E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Ca was calculated as weighted-average
The information will be reflected in a footnote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Ca was calculated as weighted-average
The information will be reflected in a footnote</t>
        </r>
      </text>
    </comment>
    <comment ref="E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Ca was calculated as weighted-average
The information will be reflected in a footnote</t>
        </r>
      </text>
    </comment>
  </commentList>
</comments>
</file>

<file path=xl/sharedStrings.xml><?xml version="1.0" encoding="utf-8"?>
<sst xmlns="http://schemas.openxmlformats.org/spreadsheetml/2006/main" count="139" uniqueCount="87">
  <si>
    <t>Stall Fed</t>
  </si>
  <si>
    <t>Pasture/Range</t>
  </si>
  <si>
    <t>Western Europe</t>
  </si>
  <si>
    <t>Asia</t>
  </si>
  <si>
    <t>Regions</t>
  </si>
  <si>
    <t>Feeding Situation</t>
  </si>
  <si>
    <t>Work</t>
  </si>
  <si>
    <t>% Pregnant</t>
  </si>
  <si>
    <t>Digestibility of Feed %</t>
  </si>
  <si>
    <t>CH4 Conversion %</t>
  </si>
  <si>
    <t>Africa</t>
  </si>
  <si>
    <t>Maintenance</t>
  </si>
  <si>
    <t>Activity</t>
  </si>
  <si>
    <t>Growth</t>
  </si>
  <si>
    <t>Lactation</t>
  </si>
  <si>
    <t>Pregnancy</t>
  </si>
  <si>
    <t>GE, MJ/day</t>
  </si>
  <si>
    <t>EF, kg/hd/yr</t>
  </si>
  <si>
    <t>DM Intake</t>
  </si>
  <si>
    <t>% Weight</t>
  </si>
  <si>
    <t>Energy content of methane is</t>
  </si>
  <si>
    <t>MJ/kg</t>
  </si>
  <si>
    <t>Energy content of feed is</t>
  </si>
  <si>
    <t>REM</t>
  </si>
  <si>
    <t>CP,%</t>
  </si>
  <si>
    <t>GE, MJ/day/hd</t>
  </si>
  <si>
    <t>Milk PR%</t>
  </si>
  <si>
    <t>Weigh, kg</t>
  </si>
  <si>
    <t>Middle East</t>
  </si>
  <si>
    <t>Day Weighted Population Mix %</t>
  </si>
  <si>
    <t>Fat, %</t>
  </si>
  <si>
    <t>Protein, %</t>
  </si>
  <si>
    <t>CP, %</t>
  </si>
  <si>
    <t>Indian Subcontinent</t>
  </si>
  <si>
    <t>Eastern Europe</t>
  </si>
  <si>
    <t>Oceania</t>
  </si>
  <si>
    <t>Latin America</t>
  </si>
  <si>
    <t>North America</t>
  </si>
  <si>
    <t>kg N(1000 kg animal mass-1) day-1</t>
  </si>
  <si>
    <t>ASH</t>
  </si>
  <si>
    <t>DE, %</t>
  </si>
  <si>
    <t>Weight, kg</t>
  </si>
  <si>
    <t>kg VS(1000 kg animal mass-1) day-1</t>
  </si>
  <si>
    <t>Nex_retention, kg N/yr/hd</t>
  </si>
  <si>
    <t>…low productivity systems</t>
  </si>
  <si>
    <t>…high-productivity systems</t>
  </si>
  <si>
    <t>Indian Subcontintent</t>
  </si>
  <si>
    <t>Milk yield, kg/year</t>
  </si>
  <si>
    <t>Work, hrs/day</t>
  </si>
  <si>
    <t>Milk, kg/day</t>
  </si>
  <si>
    <t>Weight Gain, kg/day</t>
  </si>
  <si>
    <t>Nintake, kg N/head/year</t>
  </si>
  <si>
    <t>from Enteric fermentation section</t>
  </si>
  <si>
    <t>eq 10.30</t>
  </si>
  <si>
    <t>Annual N excretion rate, Nex/head/year</t>
  </si>
  <si>
    <t>difference between Nintake-Nretention</t>
  </si>
  <si>
    <t>Eq 10.32</t>
  </si>
  <si>
    <t>Eq 10.33</t>
  </si>
  <si>
    <t>Eq 10.24</t>
  </si>
  <si>
    <t>Eq 10.3</t>
  </si>
  <si>
    <t>Eq 10.4</t>
  </si>
  <si>
    <t>Eq 10.6</t>
  </si>
  <si>
    <t>Eq 10.8</t>
  </si>
  <si>
    <t>Eq 10.11</t>
  </si>
  <si>
    <t>Eq 10.13</t>
  </si>
  <si>
    <t>Eq 10.14</t>
  </si>
  <si>
    <t>REG</t>
  </si>
  <si>
    <t>Eq 10.16</t>
  </si>
  <si>
    <t>Eq 10.21</t>
  </si>
  <si>
    <t>Data reported in Table 10.11</t>
  </si>
  <si>
    <t>...low productivity systems</t>
  </si>
  <si>
    <t>...high productivity systems</t>
  </si>
  <si>
    <t xml:space="preserve">Africa </t>
  </si>
  <si>
    <t>Eq 10.15</t>
  </si>
  <si>
    <t>Region</t>
  </si>
  <si>
    <t>Eq 10.32 (multiplied by 365)</t>
  </si>
  <si>
    <t>Eq 10.33 (multiplied by 365)</t>
  </si>
  <si>
    <t>N retention fraction</t>
  </si>
  <si>
    <t xml:space="preserve">(kg N retained/animal/day) (kg N intake/animal/day)-1 </t>
  </si>
  <si>
    <t>N retention, kgN/head/day</t>
  </si>
  <si>
    <t>Nintake, kg N/day/hd</t>
  </si>
  <si>
    <t xml:space="preserve">Region </t>
  </si>
  <si>
    <t>Volatile solid excretion rates, kgVS/hd/d</t>
  </si>
  <si>
    <t xml:space="preserve">Data for estimating Tier 1 and Tier 1a Volatile solid excretion rates for Dairy Cattle </t>
  </si>
  <si>
    <t xml:space="preserve">Data for estimating Tier 1 and Tier 1a Enteric Fermentation Emission Factors, Volatile solid excretion rates and Nitrogen excretion factors for Dairy Cattle </t>
  </si>
  <si>
    <t>Net Energy Requirements for Dairy Cattle (MJ/day)</t>
  </si>
  <si>
    <t xml:space="preserve">Data for estimating Tier 1 and Tier 1a Nitrogen excretion rates and Nretention fractions for Dairy Cattle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</si>
</sst>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</font>
    <font>
      <b/>
      <sz val="9"/>
      <name val="GillSans"/>
      <family val="2"/>
    </font>
    <font>
      <sz val="9"/>
      <name val="GillSans"/>
      <family val="2"/>
    </font>
    <font>
      <sz val="9"/>
      <name val="Arial"/>
      <family val="2"/>
    </font>
    <font>
      <sz val="9"/>
      <name val="GillSans"/>
    </font>
    <font>
      <b/>
      <sz val="10"/>
      <name val="Arial"/>
      <family val="2"/>
      <charset val="204"/>
    </font>
    <font>
      <b/>
      <sz val="9"/>
      <name val="GillSans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1" fontId="9" fillId="0" borderId="5" xfId="0" applyNumberFormat="1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164" fontId="6" fillId="2" borderId="5" xfId="0" applyNumberFormat="1" applyFont="1" applyFill="1" applyBorder="1" applyAlignment="1">
      <alignment horizontal="center" vertical="top" wrapText="1"/>
    </xf>
    <xf numFmtId="9" fontId="6" fillId="2" borderId="5" xfId="0" applyNumberFormat="1" applyFont="1" applyFill="1" applyBorder="1" applyAlignment="1">
      <alignment horizontal="center" vertical="top" wrapText="1"/>
    </xf>
    <xf numFmtId="165" fontId="6" fillId="2" borderId="5" xfId="0" applyNumberFormat="1" applyFont="1" applyFill="1" applyBorder="1" applyAlignment="1">
      <alignment horizontal="center" vertical="top" wrapText="1"/>
    </xf>
    <xf numFmtId="1" fontId="10" fillId="2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11" fillId="2" borderId="5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 wrapText="1"/>
    </xf>
    <xf numFmtId="165" fontId="11" fillId="2" borderId="5" xfId="1" applyNumberFormat="1" applyFont="1" applyFill="1" applyBorder="1" applyAlignment="1">
      <alignment horizontal="center" vertical="top" wrapText="1"/>
    </xf>
    <xf numFmtId="9" fontId="11" fillId="2" borderId="5" xfId="0" applyNumberFormat="1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 vertical="top" wrapText="1"/>
    </xf>
    <xf numFmtId="165" fontId="7" fillId="0" borderId="5" xfId="1" applyNumberFormat="1" applyFont="1" applyBorder="1" applyAlignment="1">
      <alignment horizontal="center" vertical="top" wrapText="1"/>
    </xf>
    <xf numFmtId="9" fontId="7" fillId="0" borderId="5" xfId="0" applyNumberFormat="1" applyFont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/>
    </xf>
    <xf numFmtId="1" fontId="6" fillId="2" borderId="5" xfId="0" applyNumberFormat="1" applyFont="1" applyFill="1" applyBorder="1" applyAlignment="1">
      <alignment horizontal="center" vertical="top" wrapText="1"/>
    </xf>
    <xf numFmtId="9" fontId="6" fillId="2" borderId="5" xfId="1" applyFont="1" applyFill="1" applyBorder="1" applyAlignment="1">
      <alignment horizontal="center" vertical="top" wrapText="1"/>
    </xf>
    <xf numFmtId="165" fontId="6" fillId="2" borderId="5" xfId="1" applyNumberFormat="1" applyFont="1" applyFill="1" applyBorder="1" applyAlignment="1">
      <alignment horizontal="center" vertical="top" wrapText="1"/>
    </xf>
    <xf numFmtId="9" fontId="11" fillId="2" borderId="5" xfId="1" applyFont="1" applyFill="1" applyBorder="1" applyAlignment="1">
      <alignment horizontal="center" vertical="top" wrapText="1"/>
    </xf>
    <xf numFmtId="165" fontId="7" fillId="0" borderId="5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3" fontId="3" fillId="2" borderId="0" xfId="0" applyNumberFormat="1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center" vertical="top" wrapText="1"/>
    </xf>
    <xf numFmtId="165" fontId="1" fillId="0" borderId="5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 vertical="top" wrapText="1"/>
    </xf>
    <xf numFmtId="1" fontId="9" fillId="2" borderId="5" xfId="0" applyNumberFormat="1" applyFont="1" applyFill="1" applyBorder="1" applyAlignment="1">
      <alignment horizontal="center" vertical="top" wrapText="1"/>
    </xf>
    <xf numFmtId="166" fontId="9" fillId="0" borderId="5" xfId="0" applyNumberFormat="1" applyFont="1" applyBorder="1" applyAlignment="1">
      <alignment horizontal="center" vertical="top" wrapText="1"/>
    </xf>
    <xf numFmtId="0" fontId="1" fillId="0" borderId="0" xfId="0" applyFont="1"/>
    <xf numFmtId="0" fontId="7" fillId="4" borderId="5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166" fontId="9" fillId="2" borderId="7" xfId="0" applyNumberFormat="1" applyFont="1" applyFill="1" applyBorder="1" applyAlignment="1">
      <alignment horizontal="center" vertical="top" wrapText="1"/>
    </xf>
    <xf numFmtId="1" fontId="9" fillId="2" borderId="7" xfId="0" applyNumberFormat="1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/>
    </xf>
    <xf numFmtId="165" fontId="7" fillId="2" borderId="7" xfId="1" applyNumberFormat="1" applyFont="1" applyFill="1" applyBorder="1" applyAlignment="1">
      <alignment horizontal="center" vertical="top" wrapText="1"/>
    </xf>
    <xf numFmtId="165" fontId="7" fillId="2" borderId="5" xfId="1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1" fillId="2" borderId="5" xfId="0" applyNumberFormat="1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6" fontId="9" fillId="2" borderId="7" xfId="0" applyNumberFormat="1" applyFont="1" applyFill="1" applyBorder="1" applyAlignment="1">
      <alignment horizontal="center" vertical="top"/>
    </xf>
    <xf numFmtId="166" fontId="9" fillId="2" borderId="5" xfId="0" applyNumberFormat="1" applyFont="1" applyFill="1" applyBorder="1" applyAlignment="1">
      <alignment horizontal="center" vertical="top"/>
    </xf>
    <xf numFmtId="166" fontId="9" fillId="0" borderId="5" xfId="0" applyNumberFormat="1" applyFont="1" applyBorder="1" applyAlignment="1">
      <alignment horizontal="center" vertical="top"/>
    </xf>
    <xf numFmtId="166" fontId="11" fillId="2" borderId="5" xfId="0" applyNumberFormat="1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0" fontId="1" fillId="4" borderId="5" xfId="0" applyFont="1" applyFill="1" applyBorder="1"/>
    <xf numFmtId="9" fontId="3" fillId="2" borderId="5" xfId="0" applyNumberFormat="1" applyFont="1" applyFill="1" applyBorder="1" applyAlignment="1">
      <alignment horizontal="center"/>
    </xf>
    <xf numFmtId="0" fontId="1" fillId="0" borderId="5" xfId="0" applyFont="1" applyBorder="1"/>
    <xf numFmtId="3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" fontId="1" fillId="0" borderId="0" xfId="0" applyNumberFormat="1" applyFont="1"/>
    <xf numFmtId="166" fontId="7" fillId="0" borderId="0" xfId="0" applyNumberFormat="1" applyFont="1" applyAlignment="1">
      <alignment horizontal="center" vertical="top" wrapText="1"/>
    </xf>
    <xf numFmtId="166" fontId="7" fillId="0" borderId="0" xfId="0" applyNumberFormat="1" applyFont="1" applyAlignment="1">
      <alignment horizontal="center" vertical="top"/>
    </xf>
    <xf numFmtId="165" fontId="7" fillId="0" borderId="0" xfId="1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/>
    <xf numFmtId="0" fontId="1" fillId="0" borderId="4" xfId="0" applyFont="1" applyBorder="1"/>
    <xf numFmtId="9" fontId="1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64"/>
  <sheetViews>
    <sheetView zoomScale="80" workbookViewId="0">
      <selection sqref="A1:XFD1048576"/>
    </sheetView>
  </sheetViews>
  <sheetFormatPr defaultRowHeight="12.75" x14ac:dyDescent="0.2"/>
  <cols>
    <col min="1" max="1" width="3" style="57" customWidth="1"/>
    <col min="2" max="2" width="21.7109375" style="57" customWidth="1"/>
    <col min="3" max="3" width="11.5703125" style="57" customWidth="1"/>
    <col min="4" max="4" width="9.140625" style="57"/>
    <col min="5" max="5" width="16.28515625" style="57" customWidth="1"/>
    <col min="6" max="8" width="9.140625" style="57"/>
    <col min="9" max="9" width="12.42578125" style="57" customWidth="1"/>
    <col min="10" max="10" width="11.85546875" style="57" customWidth="1"/>
    <col min="11" max="11" width="13.28515625" style="57" customWidth="1"/>
    <col min="12" max="13" width="10.85546875" style="57" customWidth="1"/>
    <col min="14" max="15" width="12.42578125" style="57" customWidth="1"/>
    <col min="16" max="16" width="9.140625" style="57"/>
    <col min="17" max="17" width="16.5703125" style="57" customWidth="1"/>
    <col min="18" max="18" width="12.7109375" style="57" customWidth="1"/>
    <col min="19" max="16384" width="9.140625" style="57"/>
  </cols>
  <sheetData>
    <row r="2" spans="2:20" x14ac:dyDescent="0.2">
      <c r="B2" s="1" t="s">
        <v>84</v>
      </c>
    </row>
    <row r="3" spans="2:20" x14ac:dyDescent="0.2">
      <c r="Q3" s="57" t="s">
        <v>69</v>
      </c>
    </row>
    <row r="4" spans="2:20" ht="36" x14ac:dyDescent="0.2">
      <c r="B4" s="58" t="s">
        <v>4</v>
      </c>
      <c r="C4" s="59" t="s">
        <v>41</v>
      </c>
      <c r="D4" s="59" t="s">
        <v>50</v>
      </c>
      <c r="E4" s="59" t="s">
        <v>5</v>
      </c>
      <c r="F4" s="59" t="s">
        <v>49</v>
      </c>
      <c r="G4" s="59" t="s">
        <v>30</v>
      </c>
      <c r="H4" s="59" t="s">
        <v>31</v>
      </c>
      <c r="I4" s="59" t="s">
        <v>48</v>
      </c>
      <c r="J4" s="60" t="s">
        <v>7</v>
      </c>
      <c r="K4" s="60" t="s">
        <v>8</v>
      </c>
      <c r="L4" s="60" t="s">
        <v>9</v>
      </c>
      <c r="M4" s="59" t="s">
        <v>32</v>
      </c>
      <c r="N4" s="59" t="s">
        <v>29</v>
      </c>
      <c r="O4" s="53" t="str">
        <f>L28</f>
        <v>EF, kg/hd/yr</v>
      </c>
      <c r="Q4" s="33" t="s">
        <v>47</v>
      </c>
    </row>
    <row r="5" spans="2:20" x14ac:dyDescent="0.2">
      <c r="B5" s="8" t="s">
        <v>37</v>
      </c>
      <c r="C5" s="9">
        <v>650</v>
      </c>
      <c r="D5" s="9">
        <v>0</v>
      </c>
      <c r="E5" s="10" t="s">
        <v>0</v>
      </c>
      <c r="F5" s="11">
        <v>28</v>
      </c>
      <c r="G5" s="11">
        <v>3.7</v>
      </c>
      <c r="H5" s="30">
        <v>3.2000000000000001E-2</v>
      </c>
      <c r="I5" s="9">
        <v>0</v>
      </c>
      <c r="J5" s="12">
        <v>0.9</v>
      </c>
      <c r="K5" s="12">
        <v>0.71</v>
      </c>
      <c r="L5" s="13">
        <v>5.8000000000000003E-2</v>
      </c>
      <c r="M5" s="13">
        <v>0.16700000000000001</v>
      </c>
      <c r="N5" s="13">
        <v>1</v>
      </c>
      <c r="O5" s="14">
        <f t="shared" ref="O5:O23" si="0">L30</f>
        <v>137.87162446395783</v>
      </c>
      <c r="Q5" s="34">
        <f t="shared" ref="Q5:Q23" si="1">F5*365</f>
        <v>10220</v>
      </c>
      <c r="R5" s="57" t="str">
        <f>B5</f>
        <v>North America</v>
      </c>
    </row>
    <row r="6" spans="2:20" x14ac:dyDescent="0.2">
      <c r="B6" s="16" t="s">
        <v>2</v>
      </c>
      <c r="C6" s="17">
        <v>600</v>
      </c>
      <c r="D6" s="17">
        <v>0</v>
      </c>
      <c r="E6" s="18" t="s">
        <v>0</v>
      </c>
      <c r="F6" s="19">
        <v>20.3</v>
      </c>
      <c r="G6" s="19">
        <v>4.2</v>
      </c>
      <c r="H6" s="20">
        <v>3.2000000000000001E-2</v>
      </c>
      <c r="I6" s="17">
        <v>0</v>
      </c>
      <c r="J6" s="21">
        <v>0.9</v>
      </c>
      <c r="K6" s="21">
        <v>0.71</v>
      </c>
      <c r="L6" s="22">
        <v>6.3E-2</v>
      </c>
      <c r="M6" s="22">
        <v>0.161</v>
      </c>
      <c r="N6" s="13">
        <v>1</v>
      </c>
      <c r="O6" s="14">
        <f t="shared" si="0"/>
        <v>125.87392517750258</v>
      </c>
      <c r="Q6" s="34">
        <f>F6*365</f>
        <v>7409.5</v>
      </c>
      <c r="R6" s="57" t="str">
        <f t="shared" ref="R6:R23" si="2">B6</f>
        <v>Western Europe</v>
      </c>
    </row>
    <row r="7" spans="2:20" x14ac:dyDescent="0.2">
      <c r="B7" s="8" t="s">
        <v>34</v>
      </c>
      <c r="C7" s="9">
        <v>550</v>
      </c>
      <c r="D7" s="9">
        <v>0</v>
      </c>
      <c r="E7" s="10" t="s">
        <v>0</v>
      </c>
      <c r="F7" s="11">
        <v>10.9</v>
      </c>
      <c r="G7" s="11">
        <v>3.9</v>
      </c>
      <c r="H7" s="30">
        <v>3.2000000000000001E-2</v>
      </c>
      <c r="I7" s="9">
        <v>0</v>
      </c>
      <c r="J7" s="12">
        <v>0.85</v>
      </c>
      <c r="K7" s="12">
        <v>0.7</v>
      </c>
      <c r="L7" s="13">
        <v>6.5000000000000002E-2</v>
      </c>
      <c r="M7" s="13">
        <v>0.151</v>
      </c>
      <c r="N7" s="13">
        <v>1</v>
      </c>
      <c r="O7" s="14">
        <f t="shared" si="0"/>
        <v>92.807121455180024</v>
      </c>
      <c r="Q7" s="34">
        <f t="shared" si="1"/>
        <v>3978.5</v>
      </c>
      <c r="R7" s="57" t="str">
        <f t="shared" si="2"/>
        <v>Eastern Europe</v>
      </c>
    </row>
    <row r="8" spans="2:20" x14ac:dyDescent="0.2">
      <c r="B8" s="8" t="s">
        <v>35</v>
      </c>
      <c r="C8" s="9">
        <v>488</v>
      </c>
      <c r="D8" s="9">
        <v>0</v>
      </c>
      <c r="E8" s="10" t="s">
        <v>1</v>
      </c>
      <c r="F8" s="11">
        <v>12.1</v>
      </c>
      <c r="G8" s="11">
        <v>4.8</v>
      </c>
      <c r="H8" s="30">
        <v>3.6999999999999998E-2</v>
      </c>
      <c r="I8" s="9">
        <v>0</v>
      </c>
      <c r="J8" s="12">
        <v>0.92</v>
      </c>
      <c r="K8" s="12">
        <v>0.77</v>
      </c>
      <c r="L8" s="13">
        <v>6.5000000000000002E-2</v>
      </c>
      <c r="M8" s="13">
        <v>0.223</v>
      </c>
      <c r="N8" s="13">
        <v>1</v>
      </c>
      <c r="O8" s="14">
        <f t="shared" si="0"/>
        <v>93.087056709304775</v>
      </c>
      <c r="Q8" s="34">
        <f t="shared" si="1"/>
        <v>4416.5</v>
      </c>
      <c r="R8" s="57" t="str">
        <f t="shared" si="2"/>
        <v>Oceania</v>
      </c>
    </row>
    <row r="9" spans="2:20" x14ac:dyDescent="0.2">
      <c r="B9" s="8" t="s">
        <v>36</v>
      </c>
      <c r="C9" s="28">
        <f>SUMPRODUCT(C10:C11,N10:N11)</f>
        <v>507.6</v>
      </c>
      <c r="D9" s="9">
        <v>0</v>
      </c>
      <c r="E9" s="10" t="s">
        <v>1</v>
      </c>
      <c r="F9" s="11">
        <f>SUMPRODUCT(F10:F11,N10:N11)</f>
        <v>5.6420000000000003</v>
      </c>
      <c r="G9" s="11">
        <f>SUMPRODUCT(G10:G11,N10:N11)</f>
        <v>4</v>
      </c>
      <c r="H9" s="30">
        <f>SUMPRODUCT(H10:H11,N10:N11)</f>
        <v>3.1620000000000002E-2</v>
      </c>
      <c r="I9" s="9">
        <v>0</v>
      </c>
      <c r="J9" s="29">
        <f>SUMPRODUCT(J10:J11,N10:N11)</f>
        <v>0.69520000000000004</v>
      </c>
      <c r="K9" s="29">
        <f>SUMPRODUCT(K10:K11,N10:N11)</f>
        <v>0.65</v>
      </c>
      <c r="L9" s="30">
        <v>6.5000000000000002E-2</v>
      </c>
      <c r="M9" s="30">
        <f>SUMPRODUCT(M10:M11,N10:N11)</f>
        <v>0.12659999999999999</v>
      </c>
      <c r="N9" s="13">
        <f>SUM(N10:N11)</f>
        <v>1</v>
      </c>
      <c r="O9" s="14">
        <f t="shared" si="0"/>
        <v>87.422109800311446</v>
      </c>
      <c r="Q9" s="34">
        <f t="shared" si="1"/>
        <v>2059.33</v>
      </c>
      <c r="R9" s="57" t="str">
        <f t="shared" si="2"/>
        <v>Latin America</v>
      </c>
    </row>
    <row r="10" spans="2:20" x14ac:dyDescent="0.2">
      <c r="B10" s="90" t="s">
        <v>44</v>
      </c>
      <c r="C10" s="5">
        <v>500</v>
      </c>
      <c r="D10" s="5">
        <v>0</v>
      </c>
      <c r="E10" s="15" t="s">
        <v>1</v>
      </c>
      <c r="F10" s="23">
        <v>3.4</v>
      </c>
      <c r="G10" s="23">
        <v>4</v>
      </c>
      <c r="H10" s="32">
        <v>3.2000000000000001E-2</v>
      </c>
      <c r="I10" s="5">
        <v>0</v>
      </c>
      <c r="J10" s="25">
        <v>0.68</v>
      </c>
      <c r="K10" s="25">
        <v>0.65</v>
      </c>
      <c r="L10" s="26">
        <v>6.5000000000000002E-2</v>
      </c>
      <c r="M10" s="26">
        <v>0.1</v>
      </c>
      <c r="N10" s="26">
        <v>0.62</v>
      </c>
      <c r="O10" s="27">
        <f t="shared" si="0"/>
        <v>77.822209323516859</v>
      </c>
      <c r="Q10" s="91">
        <f t="shared" si="1"/>
        <v>1241</v>
      </c>
      <c r="R10" s="57" t="str">
        <f t="shared" si="2"/>
        <v>…low productivity systems</v>
      </c>
    </row>
    <row r="11" spans="2:20" x14ac:dyDescent="0.2">
      <c r="B11" s="90" t="s">
        <v>45</v>
      </c>
      <c r="C11" s="5">
        <v>520</v>
      </c>
      <c r="D11" s="5">
        <v>0</v>
      </c>
      <c r="E11" s="15" t="s">
        <v>1</v>
      </c>
      <c r="F11" s="23">
        <v>9.3000000000000007</v>
      </c>
      <c r="G11" s="23">
        <v>4</v>
      </c>
      <c r="H11" s="32">
        <v>3.1E-2</v>
      </c>
      <c r="I11" s="5">
        <v>0</v>
      </c>
      <c r="J11" s="25">
        <v>0.72</v>
      </c>
      <c r="K11" s="25">
        <v>0.65</v>
      </c>
      <c r="L11" s="26">
        <v>6.5000000000000002E-2</v>
      </c>
      <c r="M11" s="26">
        <v>0.17</v>
      </c>
      <c r="N11" s="26">
        <v>0.38</v>
      </c>
      <c r="O11" s="27">
        <f t="shared" si="0"/>
        <v>103.08309148027925</v>
      </c>
      <c r="Q11" s="91">
        <f t="shared" si="1"/>
        <v>3394.5000000000005</v>
      </c>
      <c r="R11" s="57" t="str">
        <f t="shared" si="2"/>
        <v>…high-productivity systems</v>
      </c>
    </row>
    <row r="12" spans="2:20" x14ac:dyDescent="0.2">
      <c r="B12" s="8" t="s">
        <v>3</v>
      </c>
      <c r="C12" s="28">
        <f>SUMPRODUCT(C13:C14,N13:N14)</f>
        <v>386.2</v>
      </c>
      <c r="D12" s="9">
        <v>0</v>
      </c>
      <c r="E12" s="10" t="s">
        <v>0</v>
      </c>
      <c r="F12" s="11">
        <f>SUMPRODUCT(F13:F14,N13:N14)</f>
        <v>8.86</v>
      </c>
      <c r="G12" s="11">
        <f>SUMPRODUCT(G13:G14,N13:N14)</f>
        <v>3.948</v>
      </c>
      <c r="H12" s="13">
        <f>SUMPRODUCT(H13:H14,N13:N14)</f>
        <v>3.1760000000000004E-2</v>
      </c>
      <c r="I12" s="9">
        <v>0</v>
      </c>
      <c r="J12" s="12">
        <f>SUMPRODUCT(J13:J14,N13:N14)</f>
        <v>0.70120000000000005</v>
      </c>
      <c r="K12" s="12">
        <f>SUMPRODUCT(K13:K14,N13:N14)</f>
        <v>0.66200000000000003</v>
      </c>
      <c r="L12" s="13">
        <v>6.5000000000000002E-2</v>
      </c>
      <c r="M12" s="13">
        <f>SUMPRODUCT(M13:M14,N13:N14)</f>
        <v>0.13536000000000001</v>
      </c>
      <c r="N12" s="13">
        <f>SUM(N13:N14)</f>
        <v>1</v>
      </c>
      <c r="O12" s="14">
        <f t="shared" si="0"/>
        <v>78.360505107417652</v>
      </c>
      <c r="Q12" s="34">
        <f t="shared" si="1"/>
        <v>3233.8999999999996</v>
      </c>
      <c r="R12" s="57" t="str">
        <f t="shared" si="2"/>
        <v>Asia</v>
      </c>
    </row>
    <row r="13" spans="2:20" x14ac:dyDescent="0.2">
      <c r="B13" s="4" t="str">
        <f>B10</f>
        <v>…low productivity systems</v>
      </c>
      <c r="C13" s="5">
        <v>355</v>
      </c>
      <c r="D13" s="5">
        <v>0</v>
      </c>
      <c r="E13" s="15" t="s">
        <v>0</v>
      </c>
      <c r="F13" s="23">
        <v>7.3</v>
      </c>
      <c r="G13" s="23">
        <v>3.9</v>
      </c>
      <c r="H13" s="26">
        <v>3.2000000000000001E-2</v>
      </c>
      <c r="I13" s="5">
        <v>0</v>
      </c>
      <c r="J13" s="25">
        <v>0.67</v>
      </c>
      <c r="K13" s="25">
        <v>0.65</v>
      </c>
      <c r="L13" s="26">
        <v>6.5000000000000002E-2</v>
      </c>
      <c r="M13" s="26">
        <v>0.126</v>
      </c>
      <c r="N13" s="26">
        <v>0.76</v>
      </c>
      <c r="O13" s="27">
        <f t="shared" si="0"/>
        <v>71.231194249093662</v>
      </c>
      <c r="Q13" s="91">
        <f t="shared" si="1"/>
        <v>2664.5</v>
      </c>
      <c r="R13" s="57" t="str">
        <f t="shared" si="2"/>
        <v>…low productivity systems</v>
      </c>
    </row>
    <row r="14" spans="2:20" x14ac:dyDescent="0.2">
      <c r="B14" s="4" t="str">
        <f>B11</f>
        <v>…high-productivity systems</v>
      </c>
      <c r="C14" s="5">
        <v>485</v>
      </c>
      <c r="D14" s="5">
        <v>0</v>
      </c>
      <c r="E14" s="15" t="s">
        <v>0</v>
      </c>
      <c r="F14" s="23">
        <v>13.8</v>
      </c>
      <c r="G14" s="23">
        <v>4.0999999999999996</v>
      </c>
      <c r="H14" s="26">
        <v>3.1E-2</v>
      </c>
      <c r="I14" s="5">
        <v>0</v>
      </c>
      <c r="J14" s="25">
        <v>0.8</v>
      </c>
      <c r="K14" s="25">
        <v>0.7</v>
      </c>
      <c r="L14" s="26">
        <v>6.3E-2</v>
      </c>
      <c r="M14" s="26">
        <v>0.16500000000000001</v>
      </c>
      <c r="N14" s="26">
        <v>0.24</v>
      </c>
      <c r="O14" s="27">
        <f t="shared" si="0"/>
        <v>95.989751553527299</v>
      </c>
      <c r="Q14" s="91">
        <f t="shared" si="1"/>
        <v>5037</v>
      </c>
      <c r="R14" s="57" t="str">
        <f t="shared" si="2"/>
        <v>…high-productivity systems</v>
      </c>
    </row>
    <row r="15" spans="2:20" x14ac:dyDescent="0.2">
      <c r="B15" s="8" t="s">
        <v>10</v>
      </c>
      <c r="C15" s="28">
        <f>SUMPRODUCT(C16:C17,N16:N17)</f>
        <v>260.2</v>
      </c>
      <c r="D15" s="9">
        <f>SUMPRODUCT(D16:D17,O16:O17)</f>
        <v>0</v>
      </c>
      <c r="E15" s="10" t="s">
        <v>0</v>
      </c>
      <c r="F15" s="11">
        <f>SUMPRODUCT(F16:F17,N16:N17)</f>
        <v>3.4540000000000002</v>
      </c>
      <c r="G15" s="11">
        <f>SUMPRODUCT(G16:G17,N16:N17)</f>
        <v>4.3</v>
      </c>
      <c r="H15" s="11">
        <f>SUMPRODUCT(H16:H17,N16:N17)</f>
        <v>3.6</v>
      </c>
      <c r="I15" s="9">
        <f>SUMPRODUCT(I16:I17,T16:T17)</f>
        <v>0</v>
      </c>
      <c r="J15" s="29">
        <f>SUMPRODUCT(J16:J17,N16:N17)</f>
        <v>0.54449999999999998</v>
      </c>
      <c r="K15" s="29">
        <f>SUMPRODUCT(K16:K17,N16:N17)</f>
        <v>0.50509999999999999</v>
      </c>
      <c r="L15" s="30">
        <v>6.5000000000000002E-2</v>
      </c>
      <c r="M15" s="30">
        <f>SUMPRODUCT(M16:M17,N16:N17)</f>
        <v>8.7180000000000007E-2</v>
      </c>
      <c r="N15" s="12">
        <f>SUM(N16:N17)</f>
        <v>1</v>
      </c>
      <c r="O15" s="28">
        <f t="shared" si="0"/>
        <v>75.505863404240927</v>
      </c>
      <c r="P15" s="75"/>
      <c r="Q15" s="34">
        <f t="shared" si="1"/>
        <v>1260.71</v>
      </c>
      <c r="R15" s="57" t="str">
        <f t="shared" si="2"/>
        <v>Africa</v>
      </c>
      <c r="T15" s="92"/>
    </row>
    <row r="16" spans="2:20" x14ac:dyDescent="0.2">
      <c r="B16" s="4" t="str">
        <f>B13</f>
        <v>…low productivity systems</v>
      </c>
      <c r="C16" s="5">
        <v>270</v>
      </c>
      <c r="D16" s="5">
        <v>0</v>
      </c>
      <c r="E16" s="15" t="s">
        <v>1</v>
      </c>
      <c r="F16" s="23">
        <v>1.2</v>
      </c>
      <c r="G16" s="23">
        <v>4.3</v>
      </c>
      <c r="H16" s="23">
        <v>3.6</v>
      </c>
      <c r="I16" s="5">
        <v>0</v>
      </c>
      <c r="J16" s="25">
        <v>0.52</v>
      </c>
      <c r="K16" s="25">
        <v>0.51</v>
      </c>
      <c r="L16" s="26">
        <v>6.5000000000000002E-2</v>
      </c>
      <c r="M16" s="26">
        <f>96/1000</f>
        <v>9.6000000000000002E-2</v>
      </c>
      <c r="N16" s="25">
        <v>0.51</v>
      </c>
      <c r="O16" s="27">
        <f t="shared" si="0"/>
        <v>66.127311780748883</v>
      </c>
      <c r="P16" s="76"/>
      <c r="Q16" s="91">
        <f t="shared" si="1"/>
        <v>438</v>
      </c>
      <c r="R16" s="57" t="str">
        <f t="shared" si="2"/>
        <v>…low productivity systems</v>
      </c>
    </row>
    <row r="17" spans="2:22" x14ac:dyDescent="0.2">
      <c r="B17" s="4" t="str">
        <f>B14</f>
        <v>…high-productivity systems</v>
      </c>
      <c r="C17" s="5">
        <v>250</v>
      </c>
      <c r="D17" s="5">
        <v>0</v>
      </c>
      <c r="E17" s="15" t="s">
        <v>0</v>
      </c>
      <c r="F17" s="23">
        <v>5.8</v>
      </c>
      <c r="G17" s="23">
        <v>4.3</v>
      </c>
      <c r="H17" s="23">
        <v>3.6</v>
      </c>
      <c r="I17" s="5">
        <v>0</v>
      </c>
      <c r="J17" s="25">
        <v>0.56999999999999995</v>
      </c>
      <c r="K17" s="25">
        <v>0.5</v>
      </c>
      <c r="L17" s="26">
        <v>6.5000000000000002E-2</v>
      </c>
      <c r="M17" s="26">
        <f>78/1000</f>
        <v>7.8E-2</v>
      </c>
      <c r="N17" s="25">
        <v>0.49</v>
      </c>
      <c r="O17" s="27">
        <f t="shared" si="0"/>
        <v>85.845928300067996</v>
      </c>
      <c r="P17" s="76"/>
      <c r="Q17" s="91">
        <f t="shared" si="1"/>
        <v>2117</v>
      </c>
      <c r="R17" s="57" t="str">
        <f t="shared" si="2"/>
        <v>…high-productivity systems</v>
      </c>
    </row>
    <row r="18" spans="2:22" x14ac:dyDescent="0.2">
      <c r="B18" s="8" t="s">
        <v>28</v>
      </c>
      <c r="C18" s="28">
        <f>SUMPRODUCT(C19:C20,N19:N20)</f>
        <v>349.20000000000005</v>
      </c>
      <c r="D18" s="9">
        <v>0</v>
      </c>
      <c r="E18" s="10" t="s">
        <v>1</v>
      </c>
      <c r="F18" s="11">
        <f>SUMPRODUCT(F19:F20,N19:N20)</f>
        <v>5.91</v>
      </c>
      <c r="G18" s="11">
        <f>SUMPRODUCT(G19:G20,N19:N20)</f>
        <v>4.17</v>
      </c>
      <c r="H18" s="30">
        <f>SUMPRODUCT(H19:H20,N19:N20)</f>
        <v>3.5349999999999999E-2</v>
      </c>
      <c r="I18" s="9">
        <v>0</v>
      </c>
      <c r="J18" s="29">
        <f>SUMPRODUCT(J19:J20,N19:N20)</f>
        <v>0.51650000000000007</v>
      </c>
      <c r="K18" s="29">
        <f>SUMPRODUCT(K19:K20,N19:N20)</f>
        <v>0.61650000000000005</v>
      </c>
      <c r="L18" s="30">
        <v>6.5000000000000002E-2</v>
      </c>
      <c r="M18" s="30">
        <f>SUMPRODUCT(M19:M20,N19:N20)</f>
        <v>0.13589000000000001</v>
      </c>
      <c r="N18" s="13">
        <f>SUM(N19:N20)</f>
        <v>1</v>
      </c>
      <c r="O18" s="14">
        <f t="shared" si="0"/>
        <v>75.683782343824547</v>
      </c>
      <c r="P18" s="75"/>
      <c r="Q18" s="34">
        <f t="shared" si="1"/>
        <v>2157.15</v>
      </c>
      <c r="R18" s="57" t="str">
        <f t="shared" si="2"/>
        <v>Middle East</v>
      </c>
    </row>
    <row r="19" spans="2:22" s="93" customFormat="1" x14ac:dyDescent="0.2">
      <c r="B19" s="4" t="str">
        <f>B16</f>
        <v>…low productivity systems</v>
      </c>
      <c r="C19" s="5">
        <v>270</v>
      </c>
      <c r="D19" s="5">
        <v>0</v>
      </c>
      <c r="E19" s="15" t="s">
        <v>1</v>
      </c>
      <c r="F19" s="23">
        <v>3.6</v>
      </c>
      <c r="G19" s="23">
        <v>4.5</v>
      </c>
      <c r="H19" s="24">
        <v>3.6999999999999998E-2</v>
      </c>
      <c r="I19" s="5">
        <v>0</v>
      </c>
      <c r="J19" s="25">
        <v>0.5</v>
      </c>
      <c r="K19" s="25">
        <v>0.6</v>
      </c>
      <c r="L19" s="26">
        <v>6.5000000000000002E-2</v>
      </c>
      <c r="M19" s="26">
        <v>0.125</v>
      </c>
      <c r="N19" s="26">
        <v>0.67</v>
      </c>
      <c r="O19" s="27">
        <f t="shared" si="0"/>
        <v>61.962792564148799</v>
      </c>
      <c r="P19" s="76"/>
      <c r="Q19" s="94">
        <f t="shared" si="1"/>
        <v>1314</v>
      </c>
      <c r="R19" s="57" t="str">
        <f t="shared" si="2"/>
        <v>…low productivity systems</v>
      </c>
    </row>
    <row r="20" spans="2:22" s="93" customFormat="1" x14ac:dyDescent="0.2">
      <c r="B20" s="4" t="str">
        <f>B17</f>
        <v>…high-productivity systems</v>
      </c>
      <c r="C20" s="5">
        <v>510</v>
      </c>
      <c r="D20" s="5">
        <v>0</v>
      </c>
      <c r="E20" s="15" t="s">
        <v>0</v>
      </c>
      <c r="F20" s="23">
        <v>10.6</v>
      </c>
      <c r="G20" s="23">
        <v>3.5</v>
      </c>
      <c r="H20" s="24">
        <v>3.2000000000000001E-2</v>
      </c>
      <c r="I20" s="5">
        <v>0</v>
      </c>
      <c r="J20" s="25">
        <v>0.55000000000000004</v>
      </c>
      <c r="K20" s="25">
        <v>0.65</v>
      </c>
      <c r="L20" s="26">
        <v>6.5000000000000002E-2</v>
      </c>
      <c r="M20" s="26">
        <v>0.158</v>
      </c>
      <c r="N20" s="26">
        <v>0.33</v>
      </c>
      <c r="O20" s="27">
        <f t="shared" si="0"/>
        <v>94.619666417399429</v>
      </c>
      <c r="P20" s="76"/>
      <c r="Q20" s="94">
        <f t="shared" si="1"/>
        <v>3869</v>
      </c>
      <c r="R20" s="57" t="str">
        <f t="shared" si="2"/>
        <v>…high-productivity systems</v>
      </c>
    </row>
    <row r="21" spans="2:22" x14ac:dyDescent="0.2">
      <c r="B21" s="8" t="s">
        <v>33</v>
      </c>
      <c r="C21" s="28">
        <f>SUMPRODUCT(C22:C23,N22:N23)</f>
        <v>284.55</v>
      </c>
      <c r="D21" s="9">
        <v>0</v>
      </c>
      <c r="E21" s="10" t="s">
        <v>1</v>
      </c>
      <c r="F21" s="11">
        <f>SUMPRODUCT(F22:F23,N22:N23)</f>
        <v>5.1749999999999998</v>
      </c>
      <c r="G21" s="11">
        <f>SUMPRODUCT(G22:G23,N22:N23)</f>
        <v>4.1540000000000008</v>
      </c>
      <c r="H21" s="30">
        <f>SUMPRODUCT(H22:H23,N22:N23)</f>
        <v>3.508E-2</v>
      </c>
      <c r="I21" s="9">
        <v>0</v>
      </c>
      <c r="J21" s="31">
        <f>SUMPRODUCT(J22:J23,N22:N23)</f>
        <v>0.42300000000000004</v>
      </c>
      <c r="K21" s="29">
        <f>SUMPRODUCT(K22:K23,N22:N23)</f>
        <v>0.57300000000000006</v>
      </c>
      <c r="L21" s="30">
        <v>6.5000000000000002E-2</v>
      </c>
      <c r="M21" s="30">
        <f>SUMPRODUCT(M22:M23,N22:N23)</f>
        <v>0.14345000000000002</v>
      </c>
      <c r="N21" s="13">
        <f>SUM(N22:N23)</f>
        <v>1</v>
      </c>
      <c r="O21" s="14">
        <f t="shared" si="0"/>
        <v>73.413161763642194</v>
      </c>
      <c r="Q21" s="34">
        <f t="shared" si="1"/>
        <v>1888.875</v>
      </c>
      <c r="R21" s="57" t="str">
        <f t="shared" si="2"/>
        <v>Indian Subcontinent</v>
      </c>
    </row>
    <row r="22" spans="2:22" s="93" customFormat="1" x14ac:dyDescent="0.2">
      <c r="B22" s="4" t="str">
        <f>B19</f>
        <v>…low productivity systems</v>
      </c>
      <c r="C22" s="5">
        <v>265</v>
      </c>
      <c r="D22" s="5">
        <v>0</v>
      </c>
      <c r="E22" s="15" t="s">
        <v>1</v>
      </c>
      <c r="F22" s="23">
        <v>4.5999999999999996</v>
      </c>
      <c r="G22" s="23">
        <v>4.2</v>
      </c>
      <c r="H22" s="24">
        <v>3.5999999999999997E-2</v>
      </c>
      <c r="I22" s="5">
        <v>0</v>
      </c>
      <c r="J22" s="25">
        <v>0.4</v>
      </c>
      <c r="K22" s="25">
        <v>0.55000000000000004</v>
      </c>
      <c r="L22" s="26">
        <v>6.5000000000000002E-2</v>
      </c>
      <c r="M22" s="26">
        <v>0.14000000000000001</v>
      </c>
      <c r="N22" s="26">
        <v>0.77</v>
      </c>
      <c r="O22" s="27">
        <f t="shared" si="0"/>
        <v>74.460928718488532</v>
      </c>
      <c r="Q22" s="94">
        <f t="shared" si="1"/>
        <v>1678.9999999999998</v>
      </c>
      <c r="R22" s="57" t="str">
        <f t="shared" si="2"/>
        <v>…low productivity systems</v>
      </c>
    </row>
    <row r="23" spans="2:22" s="93" customFormat="1" x14ac:dyDescent="0.2">
      <c r="B23" s="4" t="str">
        <f>B20</f>
        <v>…high-productivity systems</v>
      </c>
      <c r="C23" s="5">
        <v>350</v>
      </c>
      <c r="D23" s="5">
        <v>0</v>
      </c>
      <c r="E23" s="15" t="s">
        <v>0</v>
      </c>
      <c r="F23" s="23">
        <v>7.1</v>
      </c>
      <c r="G23" s="23">
        <v>4</v>
      </c>
      <c r="H23" s="24">
        <v>3.2000000000000001E-2</v>
      </c>
      <c r="I23" s="5">
        <v>0</v>
      </c>
      <c r="J23" s="25">
        <v>0.5</v>
      </c>
      <c r="K23" s="25">
        <v>0.65</v>
      </c>
      <c r="L23" s="26">
        <v>6.5000000000000002E-2</v>
      </c>
      <c r="M23" s="26">
        <v>0.155</v>
      </c>
      <c r="N23" s="26">
        <v>0.23</v>
      </c>
      <c r="O23" s="27">
        <f t="shared" si="0"/>
        <v>69.687374633309489</v>
      </c>
      <c r="Q23" s="94">
        <f t="shared" si="1"/>
        <v>2591.5</v>
      </c>
      <c r="R23" s="57" t="str">
        <f t="shared" si="2"/>
        <v>…high-productivity systems</v>
      </c>
    </row>
    <row r="24" spans="2:22" x14ac:dyDescent="0.2">
      <c r="Q24" s="35"/>
    </row>
    <row r="25" spans="2:22" x14ac:dyDescent="0.2">
      <c r="Q25" s="35"/>
    </row>
    <row r="26" spans="2:22" x14ac:dyDescent="0.2">
      <c r="H26" s="36"/>
      <c r="Q26" s="35"/>
    </row>
    <row r="27" spans="2:22" ht="13.5" thickBot="1" x14ac:dyDescent="0.25">
      <c r="H27" s="36" t="s">
        <v>85</v>
      </c>
      <c r="Q27" s="35"/>
    </row>
    <row r="28" spans="2:22" ht="24" x14ac:dyDescent="0.2">
      <c r="B28" s="63" t="s">
        <v>4</v>
      </c>
      <c r="C28" s="64" t="s">
        <v>11</v>
      </c>
      <c r="D28" s="64" t="s">
        <v>12</v>
      </c>
      <c r="E28" s="65" t="s">
        <v>13</v>
      </c>
      <c r="F28" s="64" t="s">
        <v>14</v>
      </c>
      <c r="G28" s="64" t="s">
        <v>6</v>
      </c>
      <c r="H28" s="65" t="s">
        <v>15</v>
      </c>
      <c r="I28" s="64" t="s">
        <v>23</v>
      </c>
      <c r="J28" s="65" t="s">
        <v>66</v>
      </c>
      <c r="K28" s="65" t="s">
        <v>16</v>
      </c>
      <c r="L28" s="65" t="s">
        <v>17</v>
      </c>
      <c r="N28" s="70" t="s">
        <v>18</v>
      </c>
    </row>
    <row r="29" spans="2:22" ht="13.5" thickBot="1" x14ac:dyDescent="0.25">
      <c r="B29" s="66"/>
      <c r="C29" s="67" t="s">
        <v>59</v>
      </c>
      <c r="D29" s="67" t="s">
        <v>60</v>
      </c>
      <c r="E29" s="68" t="s">
        <v>61</v>
      </c>
      <c r="F29" s="67" t="s">
        <v>62</v>
      </c>
      <c r="G29" s="67" t="s">
        <v>63</v>
      </c>
      <c r="H29" s="68" t="s">
        <v>64</v>
      </c>
      <c r="I29" s="67" t="s">
        <v>65</v>
      </c>
      <c r="J29" s="68" t="s">
        <v>73</v>
      </c>
      <c r="K29" s="69" t="s">
        <v>67</v>
      </c>
      <c r="L29" s="69" t="s">
        <v>68</v>
      </c>
      <c r="N29" s="71" t="s">
        <v>19</v>
      </c>
      <c r="V29" s="6"/>
    </row>
    <row r="30" spans="2:22" x14ac:dyDescent="0.2">
      <c r="B30" s="74" t="s">
        <v>37</v>
      </c>
      <c r="C30" s="61">
        <f t="shared" ref="C30:C48" si="3">0.386*C5^0.75</f>
        <v>49.690380479561924</v>
      </c>
      <c r="D30" s="61">
        <f t="shared" ref="D30:D39" si="4">IF(E5="Stall fed",0,0.17*C30)</f>
        <v>0</v>
      </c>
      <c r="E30" s="82">
        <f t="shared" ref="E30:E48" si="5">IF(D5=0,0,26.04*D5^1.097)</f>
        <v>0</v>
      </c>
      <c r="F30" s="61">
        <f t="shared" ref="F30:F48" si="6">F5*(1.47+0.4*G5)</f>
        <v>82.600000000000009</v>
      </c>
      <c r="G30" s="61">
        <f t="shared" ref="G30:G48" si="7">0.1*C30*I5</f>
        <v>0</v>
      </c>
      <c r="H30" s="61">
        <f t="shared" ref="H30:H48" si="8">0.1*C30*J5</f>
        <v>4.472134243160574</v>
      </c>
      <c r="I30" s="61">
        <f t="shared" ref="I30:I48" si="9">1.123-(0.4092*K5)+(0.1126*K5^2)-0.254/K5</f>
        <v>0.53148318112676063</v>
      </c>
      <c r="J30" s="61">
        <f t="shared" ref="J30:J48" si="10">1.164-(0.516*K5)+(0.1308*K5^2)-0.374/K5</f>
        <v>0.3368157166197181</v>
      </c>
      <c r="K30" s="61">
        <f t="shared" ref="K30:K48" si="11">((SUM(C30:H30)-E30)/I30+E30/J30)/K5</f>
        <v>362.42588103066851</v>
      </c>
      <c r="L30" s="62">
        <f t="shared" ref="L30:L48" si="12">K30*L5*365/$B$53</f>
        <v>137.87162446395783</v>
      </c>
      <c r="N30" s="72">
        <f t="shared" ref="N30:N48" si="13">K30/$B$56/C5</f>
        <v>3.0221044905621722E-2</v>
      </c>
      <c r="V30" s="95"/>
    </row>
    <row r="31" spans="2:22" x14ac:dyDescent="0.2">
      <c r="B31" s="16" t="s">
        <v>2</v>
      </c>
      <c r="C31" s="54">
        <f t="shared" si="3"/>
        <v>46.795139088310577</v>
      </c>
      <c r="D31" s="54">
        <f t="shared" si="4"/>
        <v>0</v>
      </c>
      <c r="E31" s="83">
        <f t="shared" si="5"/>
        <v>0</v>
      </c>
      <c r="F31" s="54">
        <f t="shared" si="6"/>
        <v>63.945000000000007</v>
      </c>
      <c r="G31" s="54">
        <f t="shared" si="7"/>
        <v>0</v>
      </c>
      <c r="H31" s="54">
        <f t="shared" si="8"/>
        <v>4.2115625179479519</v>
      </c>
      <c r="I31" s="54">
        <f t="shared" si="9"/>
        <v>0.53148318112676063</v>
      </c>
      <c r="J31" s="54">
        <f t="shared" si="10"/>
        <v>0.3368157166197181</v>
      </c>
      <c r="K31" s="54">
        <f t="shared" si="11"/>
        <v>304.62639426518888</v>
      </c>
      <c r="L31" s="55">
        <f t="shared" si="12"/>
        <v>125.87392517750258</v>
      </c>
      <c r="N31" s="73">
        <f t="shared" si="13"/>
        <v>2.7518192797216703E-2</v>
      </c>
      <c r="V31" s="95"/>
    </row>
    <row r="32" spans="2:22" x14ac:dyDescent="0.2">
      <c r="B32" s="16" t="s">
        <v>34</v>
      </c>
      <c r="C32" s="54">
        <f t="shared" si="3"/>
        <v>43.838867036162007</v>
      </c>
      <c r="D32" s="54">
        <f t="shared" si="4"/>
        <v>0</v>
      </c>
      <c r="E32" s="83">
        <f t="shared" si="5"/>
        <v>0</v>
      </c>
      <c r="F32" s="54">
        <f t="shared" si="6"/>
        <v>33.027000000000001</v>
      </c>
      <c r="G32" s="54">
        <f t="shared" si="7"/>
        <v>0</v>
      </c>
      <c r="H32" s="54">
        <f t="shared" si="8"/>
        <v>3.7263036980737709</v>
      </c>
      <c r="I32" s="54">
        <f t="shared" si="9"/>
        <v>0.52887685714285704</v>
      </c>
      <c r="J32" s="54">
        <f t="shared" si="10"/>
        <v>0.33260628571428563</v>
      </c>
      <c r="K32" s="54">
        <f t="shared" si="11"/>
        <v>217.69088762827261</v>
      </c>
      <c r="L32" s="55">
        <f t="shared" si="12"/>
        <v>92.807121455180024</v>
      </c>
      <c r="N32" s="73">
        <f t="shared" si="13"/>
        <v>2.1452661998351576E-2</v>
      </c>
      <c r="V32" s="95"/>
    </row>
    <row r="33" spans="2:22" x14ac:dyDescent="0.2">
      <c r="B33" s="16" t="s">
        <v>35</v>
      </c>
      <c r="C33" s="54">
        <f t="shared" si="3"/>
        <v>40.077642888199271</v>
      </c>
      <c r="D33" s="54">
        <f t="shared" si="4"/>
        <v>6.813199290993877</v>
      </c>
      <c r="E33" s="83">
        <f t="shared" si="5"/>
        <v>0</v>
      </c>
      <c r="F33" s="54">
        <f t="shared" si="6"/>
        <v>41.018999999999998</v>
      </c>
      <c r="G33" s="54">
        <f t="shared" si="7"/>
        <v>0</v>
      </c>
      <c r="H33" s="54">
        <f t="shared" si="8"/>
        <v>3.6871431457143329</v>
      </c>
      <c r="I33" s="54">
        <f t="shared" si="9"/>
        <v>0.54480641012987008</v>
      </c>
      <c r="J33" s="54">
        <f t="shared" si="10"/>
        <v>0.35851703428571419</v>
      </c>
      <c r="K33" s="54">
        <f t="shared" si="11"/>
        <v>218.347511311815</v>
      </c>
      <c r="L33" s="55">
        <f t="shared" si="12"/>
        <v>93.087056709304775</v>
      </c>
      <c r="N33" s="73">
        <f t="shared" si="13"/>
        <v>2.4251134136547049E-2</v>
      </c>
      <c r="V33" s="95"/>
    </row>
    <row r="34" spans="2:22" x14ac:dyDescent="0.2">
      <c r="B34" s="16" t="s">
        <v>36</v>
      </c>
      <c r="C34" s="54">
        <f t="shared" si="3"/>
        <v>41.278937928368052</v>
      </c>
      <c r="D34" s="54">
        <f t="shared" si="4"/>
        <v>7.0174194478225695</v>
      </c>
      <c r="E34" s="83">
        <f t="shared" si="5"/>
        <v>0</v>
      </c>
      <c r="F34" s="54">
        <f t="shared" si="6"/>
        <v>17.320940000000004</v>
      </c>
      <c r="G34" s="54">
        <f t="shared" si="7"/>
        <v>0</v>
      </c>
      <c r="H34" s="54">
        <f t="shared" si="8"/>
        <v>2.8697117647801473</v>
      </c>
      <c r="I34" s="54">
        <f t="shared" si="9"/>
        <v>0.51382426923076929</v>
      </c>
      <c r="J34" s="54">
        <f t="shared" si="10"/>
        <v>0.30847838461538446</v>
      </c>
      <c r="K34" s="54">
        <f t="shared" si="11"/>
        <v>205.05965902580957</v>
      </c>
      <c r="L34" s="55">
        <f t="shared" si="12"/>
        <v>87.422109800311446</v>
      </c>
      <c r="N34" s="73">
        <f t="shared" si="13"/>
        <v>2.1895872069829601E-2</v>
      </c>
      <c r="V34" s="95"/>
    </row>
    <row r="35" spans="2:22" x14ac:dyDescent="0.2">
      <c r="B35" s="4" t="str">
        <f>B10</f>
        <v>…low productivity systems</v>
      </c>
      <c r="C35" s="56">
        <f t="shared" si="3"/>
        <v>40.814530768805788</v>
      </c>
      <c r="D35" s="56">
        <f t="shared" si="4"/>
        <v>6.9384702306969848</v>
      </c>
      <c r="E35" s="84">
        <f t="shared" si="5"/>
        <v>0</v>
      </c>
      <c r="F35" s="56">
        <f t="shared" si="6"/>
        <v>10.438000000000001</v>
      </c>
      <c r="G35" s="56">
        <f t="shared" si="7"/>
        <v>0</v>
      </c>
      <c r="H35" s="56">
        <f t="shared" si="8"/>
        <v>2.7753880922787939</v>
      </c>
      <c r="I35" s="56">
        <f t="shared" si="9"/>
        <v>0.51382426923076929</v>
      </c>
      <c r="J35" s="56">
        <f t="shared" si="10"/>
        <v>0.30847838461538446</v>
      </c>
      <c r="K35" s="56">
        <f t="shared" si="11"/>
        <v>182.54187350279085</v>
      </c>
      <c r="L35" s="7">
        <f t="shared" si="12"/>
        <v>77.822209323516859</v>
      </c>
      <c r="N35" s="32">
        <f t="shared" si="13"/>
        <v>1.9787736965072182E-2</v>
      </c>
      <c r="V35" s="95"/>
    </row>
    <row r="36" spans="2:22" x14ac:dyDescent="0.2">
      <c r="B36" s="4" t="str">
        <f>B11</f>
        <v>…high-productivity systems</v>
      </c>
      <c r="C36" s="56">
        <f t="shared" si="3"/>
        <v>42.032944310813384</v>
      </c>
      <c r="D36" s="56">
        <f t="shared" si="4"/>
        <v>7.1456005328382757</v>
      </c>
      <c r="E36" s="84">
        <f t="shared" si="5"/>
        <v>0</v>
      </c>
      <c r="F36" s="56">
        <f t="shared" si="6"/>
        <v>28.551000000000005</v>
      </c>
      <c r="G36" s="56">
        <f t="shared" si="7"/>
        <v>0</v>
      </c>
      <c r="H36" s="56">
        <f t="shared" si="8"/>
        <v>3.0263719903785633</v>
      </c>
      <c r="I36" s="56">
        <f t="shared" si="9"/>
        <v>0.51382426923076929</v>
      </c>
      <c r="J36" s="56">
        <f t="shared" si="10"/>
        <v>0.30847838461538446</v>
      </c>
      <c r="K36" s="56">
        <f t="shared" si="11"/>
        <v>241.79448012128725</v>
      </c>
      <c r="L36" s="7">
        <f t="shared" si="12"/>
        <v>103.08309148027925</v>
      </c>
      <c r="N36" s="32">
        <f t="shared" si="13"/>
        <v>2.5202676685562565E-2</v>
      </c>
      <c r="V36" s="95"/>
    </row>
    <row r="37" spans="2:22" x14ac:dyDescent="0.2">
      <c r="B37" s="16" t="s">
        <v>3</v>
      </c>
      <c r="C37" s="54">
        <f t="shared" si="3"/>
        <v>33.627649083745979</v>
      </c>
      <c r="D37" s="54">
        <f t="shared" si="4"/>
        <v>0</v>
      </c>
      <c r="E37" s="83">
        <f t="shared" si="5"/>
        <v>0</v>
      </c>
      <c r="F37" s="54">
        <f t="shared" si="6"/>
        <v>27.015911999999997</v>
      </c>
      <c r="G37" s="54">
        <f t="shared" si="7"/>
        <v>0</v>
      </c>
      <c r="H37" s="54">
        <f t="shared" si="8"/>
        <v>2.3579707537522685</v>
      </c>
      <c r="I37" s="54">
        <f t="shared" si="9"/>
        <v>0.51777007379577045</v>
      </c>
      <c r="J37" s="54">
        <f t="shared" si="10"/>
        <v>0.31477563242054374</v>
      </c>
      <c r="K37" s="54">
        <f t="shared" si="11"/>
        <v>183.80451461444855</v>
      </c>
      <c r="L37" s="55">
        <f t="shared" si="12"/>
        <v>78.360505107417652</v>
      </c>
      <c r="N37" s="73">
        <f t="shared" si="13"/>
        <v>2.5795712882305186E-2</v>
      </c>
      <c r="V37" s="95"/>
    </row>
    <row r="38" spans="2:22" x14ac:dyDescent="0.2">
      <c r="B38" s="4" t="str">
        <f>B13</f>
        <v>…low productivity systems</v>
      </c>
      <c r="C38" s="56">
        <f t="shared" si="3"/>
        <v>31.568836036168832</v>
      </c>
      <c r="D38" s="56">
        <f t="shared" si="4"/>
        <v>0</v>
      </c>
      <c r="E38" s="84">
        <f t="shared" si="5"/>
        <v>0</v>
      </c>
      <c r="F38" s="56">
        <f t="shared" si="6"/>
        <v>22.119</v>
      </c>
      <c r="G38" s="56">
        <f t="shared" si="7"/>
        <v>0</v>
      </c>
      <c r="H38" s="56">
        <f t="shared" si="8"/>
        <v>2.1151120144233118</v>
      </c>
      <c r="I38" s="56">
        <f t="shared" si="9"/>
        <v>0.51382426923076929</v>
      </c>
      <c r="J38" s="56">
        <f t="shared" si="10"/>
        <v>0.30847838461538446</v>
      </c>
      <c r="K38" s="56">
        <f t="shared" si="11"/>
        <v>167.0818107465569</v>
      </c>
      <c r="L38" s="7">
        <f t="shared" si="12"/>
        <v>71.231194249093662</v>
      </c>
      <c r="N38" s="32">
        <f t="shared" si="13"/>
        <v>2.5509647047071551E-2</v>
      </c>
      <c r="V38" s="95"/>
    </row>
    <row r="39" spans="2:22" x14ac:dyDescent="0.2">
      <c r="B39" s="4" t="str">
        <f>B14</f>
        <v>…high-productivity systems</v>
      </c>
      <c r="C39" s="56">
        <f t="shared" si="3"/>
        <v>39.892716313014702</v>
      </c>
      <c r="D39" s="56">
        <f t="shared" si="4"/>
        <v>0</v>
      </c>
      <c r="E39" s="84">
        <f t="shared" si="5"/>
        <v>0</v>
      </c>
      <c r="F39" s="56">
        <f t="shared" si="6"/>
        <v>42.917999999999999</v>
      </c>
      <c r="G39" s="56">
        <f t="shared" si="7"/>
        <v>0</v>
      </c>
      <c r="H39" s="56">
        <f t="shared" si="8"/>
        <v>3.1914173050411763</v>
      </c>
      <c r="I39" s="56">
        <f t="shared" si="9"/>
        <v>0.52887685714285704</v>
      </c>
      <c r="J39" s="56">
        <f t="shared" si="10"/>
        <v>0.33260628571428563</v>
      </c>
      <c r="K39" s="56">
        <f t="shared" si="11"/>
        <v>232.30396494689253</v>
      </c>
      <c r="L39" s="7">
        <f t="shared" si="12"/>
        <v>95.989751553527299</v>
      </c>
      <c r="N39" s="32">
        <f t="shared" si="13"/>
        <v>2.596082641263851E-2</v>
      </c>
      <c r="V39" s="95"/>
    </row>
    <row r="40" spans="2:22" x14ac:dyDescent="0.2">
      <c r="B40" s="16" t="s">
        <v>10</v>
      </c>
      <c r="C40" s="77">
        <f t="shared" si="3"/>
        <v>25.007355836286742</v>
      </c>
      <c r="D40" s="77">
        <f>(0*N17+0.17*N16)*C40</f>
        <v>2.1681377510060607</v>
      </c>
      <c r="E40" s="85">
        <f t="shared" si="5"/>
        <v>0</v>
      </c>
      <c r="F40" s="77">
        <f t="shared" si="6"/>
        <v>11.01826</v>
      </c>
      <c r="G40" s="77">
        <f t="shared" si="7"/>
        <v>0</v>
      </c>
      <c r="H40" s="77">
        <f t="shared" si="8"/>
        <v>1.3616505252858131</v>
      </c>
      <c r="I40" s="77">
        <f t="shared" si="9"/>
        <v>0.44216955005642955</v>
      </c>
      <c r="J40" s="77">
        <f t="shared" si="10"/>
        <v>0.19629144595674275</v>
      </c>
      <c r="K40" s="77">
        <f t="shared" si="11"/>
        <v>177.10859002933645</v>
      </c>
      <c r="L40" s="78">
        <f t="shared" si="12"/>
        <v>75.505863404240927</v>
      </c>
      <c r="M40" s="1"/>
      <c r="N40" s="30">
        <f t="shared" si="13"/>
        <v>3.689231965182848E-2</v>
      </c>
      <c r="V40" s="95"/>
    </row>
    <row r="41" spans="2:22" x14ac:dyDescent="0.2">
      <c r="B41" s="4" t="s">
        <v>70</v>
      </c>
      <c r="C41" s="56">
        <f t="shared" si="3"/>
        <v>25.71047662806199</v>
      </c>
      <c r="D41" s="56">
        <f>IF(E16="Stall fed",0,0.17*C41)</f>
        <v>4.3707810267705387</v>
      </c>
      <c r="E41" s="84">
        <f t="shared" si="5"/>
        <v>0</v>
      </c>
      <c r="F41" s="56">
        <f t="shared" si="6"/>
        <v>3.8279999999999998</v>
      </c>
      <c r="G41" s="56">
        <f t="shared" si="7"/>
        <v>0</v>
      </c>
      <c r="H41" s="56">
        <f t="shared" si="8"/>
        <v>1.3369447846592237</v>
      </c>
      <c r="I41" s="56">
        <f t="shared" si="9"/>
        <v>0.44555604431372553</v>
      </c>
      <c r="J41" s="56">
        <f t="shared" si="10"/>
        <v>0.20152774666666662</v>
      </c>
      <c r="K41" s="56">
        <f t="shared" si="11"/>
        <v>155.11000634767862</v>
      </c>
      <c r="L41" s="7">
        <f t="shared" si="12"/>
        <v>66.127311780748883</v>
      </c>
      <c r="N41" s="32">
        <f t="shared" si="13"/>
        <v>3.1137208942623434E-2</v>
      </c>
      <c r="V41" s="95"/>
    </row>
    <row r="42" spans="2:22" x14ac:dyDescent="0.2">
      <c r="B42" s="4" t="s">
        <v>71</v>
      </c>
      <c r="C42" s="56">
        <f t="shared" si="3"/>
        <v>24.268465192880647</v>
      </c>
      <c r="D42" s="56">
        <f>IF(E17="Stall fed",0,0.17*C42)</f>
        <v>0</v>
      </c>
      <c r="E42" s="84">
        <f t="shared" si="5"/>
        <v>0</v>
      </c>
      <c r="F42" s="56">
        <f t="shared" si="6"/>
        <v>18.501999999999999</v>
      </c>
      <c r="G42" s="56">
        <f t="shared" si="7"/>
        <v>0</v>
      </c>
      <c r="H42" s="56">
        <f t="shared" si="8"/>
        <v>1.3833025159941967</v>
      </c>
      <c r="I42" s="56">
        <f t="shared" si="9"/>
        <v>0.43855</v>
      </c>
      <c r="J42" s="56">
        <f t="shared" si="10"/>
        <v>0.19069999999999987</v>
      </c>
      <c r="K42" s="56">
        <f t="shared" si="11"/>
        <v>201.36252518013839</v>
      </c>
      <c r="L42" s="7">
        <f t="shared" si="12"/>
        <v>85.845928300067996</v>
      </c>
      <c r="N42" s="32">
        <f t="shared" si="13"/>
        <v>4.3655832017374177E-2</v>
      </c>
      <c r="V42" s="95"/>
    </row>
    <row r="43" spans="2:22" x14ac:dyDescent="0.2">
      <c r="B43" s="16" t="s">
        <v>28</v>
      </c>
      <c r="C43" s="77">
        <f t="shared" si="3"/>
        <v>31.181211205234852</v>
      </c>
      <c r="D43" s="77">
        <f>(0*N20+0.17*N19)*C43</f>
        <v>3.5515399562762502</v>
      </c>
      <c r="E43" s="85">
        <f t="shared" si="5"/>
        <v>0</v>
      </c>
      <c r="F43" s="77">
        <f t="shared" si="6"/>
        <v>18.545580000000001</v>
      </c>
      <c r="G43" s="77">
        <f t="shared" si="7"/>
        <v>0</v>
      </c>
      <c r="H43" s="77">
        <f t="shared" si="8"/>
        <v>1.6105095587503804</v>
      </c>
      <c r="I43" s="77">
        <f t="shared" si="9"/>
        <v>0.50152109122996757</v>
      </c>
      <c r="J43" s="77">
        <f t="shared" si="10"/>
        <v>0.28894900423349545</v>
      </c>
      <c r="K43" s="77">
        <f t="shared" si="11"/>
        <v>177.52592149352313</v>
      </c>
      <c r="L43" s="78">
        <f t="shared" si="12"/>
        <v>75.683782343824547</v>
      </c>
      <c r="M43" s="1"/>
      <c r="N43" s="30">
        <f t="shared" si="13"/>
        <v>2.7554413416267479E-2</v>
      </c>
      <c r="V43" s="95"/>
    </row>
    <row r="44" spans="2:22" x14ac:dyDescent="0.2">
      <c r="B44" s="4" t="str">
        <f>B35</f>
        <v>…low productivity systems</v>
      </c>
      <c r="C44" s="56">
        <f t="shared" si="3"/>
        <v>25.71047662806199</v>
      </c>
      <c r="D44" s="56">
        <f>IF(E19="Stall fed",0,0.17*C44)</f>
        <v>4.3707810267705387</v>
      </c>
      <c r="E44" s="84">
        <f t="shared" si="5"/>
        <v>0</v>
      </c>
      <c r="F44" s="56">
        <f t="shared" si="6"/>
        <v>11.772</v>
      </c>
      <c r="G44" s="56">
        <f t="shared" si="7"/>
        <v>0</v>
      </c>
      <c r="H44" s="56">
        <f t="shared" si="8"/>
        <v>1.2855238314030997</v>
      </c>
      <c r="I44" s="56">
        <f t="shared" si="9"/>
        <v>0.49468266666666671</v>
      </c>
      <c r="J44" s="56">
        <f t="shared" si="10"/>
        <v>0.27815466666666655</v>
      </c>
      <c r="K44" s="56">
        <f t="shared" si="11"/>
        <v>145.34159773213406</v>
      </c>
      <c r="L44" s="7">
        <f t="shared" si="12"/>
        <v>61.962792564148799</v>
      </c>
      <c r="N44" s="32">
        <f t="shared" si="13"/>
        <v>2.9176271751908876E-2</v>
      </c>
      <c r="V44" s="95"/>
    </row>
    <row r="45" spans="2:22" x14ac:dyDescent="0.2">
      <c r="B45" s="4" t="str">
        <f>B36</f>
        <v>…high-productivity systems</v>
      </c>
      <c r="C45" s="56">
        <f t="shared" si="3"/>
        <v>41.425230798325643</v>
      </c>
      <c r="D45" s="56">
        <f>IF(E20="Stall fed",0,0.17*C45)</f>
        <v>0</v>
      </c>
      <c r="E45" s="84">
        <f t="shared" si="5"/>
        <v>0</v>
      </c>
      <c r="F45" s="56">
        <f t="shared" si="6"/>
        <v>30.422000000000001</v>
      </c>
      <c r="G45" s="56">
        <f t="shared" si="7"/>
        <v>0</v>
      </c>
      <c r="H45" s="56">
        <f t="shared" si="8"/>
        <v>2.2783876939079106</v>
      </c>
      <c r="I45" s="56">
        <f t="shared" si="9"/>
        <v>0.51382426923076929</v>
      </c>
      <c r="J45" s="56">
        <f t="shared" si="10"/>
        <v>0.30847838461538446</v>
      </c>
      <c r="K45" s="56">
        <f t="shared" si="11"/>
        <v>221.94244198643952</v>
      </c>
      <c r="L45" s="7">
        <f t="shared" si="12"/>
        <v>94.619666417399429</v>
      </c>
      <c r="N45" s="32">
        <f t="shared" si="13"/>
        <v>2.3587060097395137E-2</v>
      </c>
      <c r="V45" s="95"/>
    </row>
    <row r="46" spans="2:22" x14ac:dyDescent="0.2">
      <c r="B46" s="16" t="s">
        <v>33</v>
      </c>
      <c r="C46" s="77">
        <f t="shared" si="3"/>
        <v>26.742761250667854</v>
      </c>
      <c r="D46" s="77">
        <f>(0.17*N22+0*N23)*C46</f>
        <v>3.5006274477124224</v>
      </c>
      <c r="E46" s="85">
        <f t="shared" si="5"/>
        <v>0</v>
      </c>
      <c r="F46" s="77">
        <f t="shared" si="6"/>
        <v>16.206030000000002</v>
      </c>
      <c r="G46" s="77">
        <f t="shared" si="7"/>
        <v>0</v>
      </c>
      <c r="H46" s="77">
        <f t="shared" si="8"/>
        <v>1.1312188009032504</v>
      </c>
      <c r="I46" s="77">
        <f t="shared" si="9"/>
        <v>0.48221726808760917</v>
      </c>
      <c r="J46" s="77">
        <f t="shared" si="10"/>
        <v>0.25857237211797557</v>
      </c>
      <c r="K46" s="77">
        <f t="shared" si="11"/>
        <v>172.19989260892254</v>
      </c>
      <c r="L46" s="78">
        <f t="shared" si="12"/>
        <v>73.413161763642194</v>
      </c>
      <c r="N46" s="73">
        <f t="shared" si="13"/>
        <v>3.2800307547632149E-2</v>
      </c>
      <c r="V46" s="95"/>
    </row>
    <row r="47" spans="2:22" x14ac:dyDescent="0.2">
      <c r="B47" s="4" t="str">
        <f>B44</f>
        <v>…low productivity systems</v>
      </c>
      <c r="C47" s="56">
        <f t="shared" si="3"/>
        <v>25.352553632467984</v>
      </c>
      <c r="D47" s="56">
        <f>IF(E22="Stall fed",0,0.17*C47)</f>
        <v>4.3099341175195578</v>
      </c>
      <c r="E47" s="84">
        <f t="shared" si="5"/>
        <v>0</v>
      </c>
      <c r="F47" s="56">
        <f t="shared" si="6"/>
        <v>14.49</v>
      </c>
      <c r="G47" s="56">
        <f t="shared" si="7"/>
        <v>0</v>
      </c>
      <c r="H47" s="56">
        <f t="shared" si="8"/>
        <v>1.0141021452987196</v>
      </c>
      <c r="I47" s="56">
        <f t="shared" si="9"/>
        <v>0.47018331818181813</v>
      </c>
      <c r="J47" s="56">
        <f t="shared" si="10"/>
        <v>0.23976699999999995</v>
      </c>
      <c r="K47" s="56">
        <f t="shared" si="11"/>
        <v>174.65756304252417</v>
      </c>
      <c r="L47" s="7">
        <f t="shared" si="12"/>
        <v>74.460928718488532</v>
      </c>
      <c r="N47" s="32">
        <f t="shared" si="13"/>
        <v>3.5722772008492956E-2</v>
      </c>
      <c r="V47" s="95"/>
    </row>
    <row r="48" spans="2:22" x14ac:dyDescent="0.2">
      <c r="B48" s="4" t="str">
        <f>B45</f>
        <v>…high-productivity systems</v>
      </c>
      <c r="C48" s="56">
        <f t="shared" si="3"/>
        <v>31.234771841644651</v>
      </c>
      <c r="D48" s="56">
        <f>IF(E23="Stall fed",0,0.17*C48)</f>
        <v>0</v>
      </c>
      <c r="E48" s="84">
        <f t="shared" si="5"/>
        <v>0</v>
      </c>
      <c r="F48" s="56">
        <f t="shared" si="6"/>
        <v>21.797000000000001</v>
      </c>
      <c r="G48" s="56">
        <f t="shared" si="7"/>
        <v>0</v>
      </c>
      <c r="H48" s="56">
        <f t="shared" si="8"/>
        <v>1.5617385920822326</v>
      </c>
      <c r="I48" s="56">
        <f t="shared" si="9"/>
        <v>0.51382426923076929</v>
      </c>
      <c r="J48" s="56">
        <f t="shared" si="10"/>
        <v>0.30847838461538446</v>
      </c>
      <c r="K48" s="56">
        <f t="shared" si="11"/>
        <v>163.46058581005997</v>
      </c>
      <c r="L48" s="7">
        <f t="shared" si="12"/>
        <v>69.687374633309489</v>
      </c>
      <c r="N48" s="32">
        <f t="shared" si="13"/>
        <v>2.5313292421224928E-2</v>
      </c>
      <c r="V48" s="95"/>
    </row>
    <row r="49" spans="2:22" x14ac:dyDescent="0.2">
      <c r="B49" s="37"/>
      <c r="C49" s="96"/>
      <c r="D49" s="96"/>
      <c r="E49" s="97"/>
      <c r="F49" s="96"/>
      <c r="G49" s="96"/>
      <c r="H49" s="96"/>
      <c r="I49" s="96"/>
      <c r="K49" s="3"/>
      <c r="M49" s="96"/>
      <c r="N49" s="96"/>
      <c r="O49" s="96"/>
      <c r="Q49" s="96"/>
      <c r="R49" s="38"/>
      <c r="T49" s="98"/>
      <c r="V49" s="95"/>
    </row>
    <row r="50" spans="2:22" x14ac:dyDescent="0.2">
      <c r="B50" s="37"/>
      <c r="C50" s="96"/>
      <c r="D50" s="96"/>
      <c r="E50" s="97"/>
      <c r="F50" s="96"/>
      <c r="G50" s="96"/>
      <c r="H50" s="96"/>
      <c r="I50" s="96"/>
      <c r="K50" s="3"/>
      <c r="M50" s="96"/>
      <c r="N50" s="96"/>
      <c r="O50" s="96"/>
      <c r="Q50" s="96"/>
      <c r="R50" s="38"/>
      <c r="T50" s="98"/>
      <c r="V50" s="95"/>
    </row>
    <row r="51" spans="2:22" ht="13.5" thickBot="1" x14ac:dyDescent="0.25">
      <c r="B51" s="37"/>
      <c r="C51" s="96"/>
      <c r="D51" s="96"/>
      <c r="E51" s="97"/>
      <c r="F51" s="96"/>
      <c r="G51" s="96"/>
      <c r="H51" s="96"/>
      <c r="I51" s="96"/>
      <c r="K51" s="3"/>
      <c r="M51" s="96"/>
      <c r="N51" s="96"/>
      <c r="O51" s="96"/>
      <c r="Q51" s="96"/>
      <c r="R51" s="38"/>
      <c r="T51" s="98"/>
      <c r="V51" s="95"/>
    </row>
    <row r="52" spans="2:22" x14ac:dyDescent="0.2">
      <c r="B52" s="99" t="s">
        <v>20</v>
      </c>
      <c r="C52" s="100"/>
      <c r="D52" s="96"/>
      <c r="E52" s="97"/>
      <c r="F52" s="96"/>
      <c r="G52" s="96"/>
      <c r="H52" s="96"/>
      <c r="I52" s="96"/>
      <c r="K52" s="3"/>
      <c r="M52" s="96"/>
      <c r="N52" s="96"/>
      <c r="O52" s="96"/>
      <c r="Q52" s="96"/>
      <c r="R52" s="38"/>
      <c r="T52" s="98"/>
      <c r="V52" s="95"/>
    </row>
    <row r="53" spans="2:22" ht="13.5" thickBot="1" x14ac:dyDescent="0.25">
      <c r="B53" s="101">
        <v>55.65</v>
      </c>
      <c r="C53" s="102" t="s">
        <v>21</v>
      </c>
      <c r="D53" s="96"/>
      <c r="E53" s="97"/>
      <c r="F53" s="96"/>
      <c r="G53" s="96"/>
      <c r="H53" s="96"/>
      <c r="I53" s="96"/>
      <c r="K53" s="3"/>
      <c r="M53" s="96"/>
      <c r="N53" s="96"/>
      <c r="O53" s="96"/>
      <c r="Q53" s="96"/>
      <c r="R53" s="38"/>
      <c r="T53" s="98"/>
      <c r="V53" s="95"/>
    </row>
    <row r="54" spans="2:22" ht="13.5" thickBot="1" x14ac:dyDescent="0.25">
      <c r="D54" s="96"/>
      <c r="E54" s="97"/>
      <c r="F54" s="96"/>
      <c r="G54" s="96"/>
      <c r="H54" s="96"/>
      <c r="I54" s="96"/>
      <c r="K54" s="3"/>
      <c r="M54" s="96"/>
      <c r="N54" s="96"/>
      <c r="O54" s="96"/>
      <c r="Q54" s="96"/>
      <c r="R54" s="38"/>
      <c r="T54" s="98"/>
      <c r="V54" s="95"/>
    </row>
    <row r="55" spans="2:22" x14ac:dyDescent="0.2">
      <c r="B55" s="99" t="s">
        <v>22</v>
      </c>
      <c r="C55" s="100"/>
      <c r="D55" s="96"/>
      <c r="E55" s="97"/>
      <c r="F55" s="96"/>
      <c r="G55" s="96"/>
      <c r="H55" s="96"/>
      <c r="I55" s="96"/>
      <c r="K55" s="3"/>
      <c r="M55" s="96"/>
      <c r="N55" s="96"/>
      <c r="O55" s="96"/>
      <c r="Q55" s="96"/>
      <c r="R55" s="38"/>
      <c r="T55" s="98"/>
      <c r="V55" s="95"/>
    </row>
    <row r="56" spans="2:22" ht="13.5" thickBot="1" x14ac:dyDescent="0.25">
      <c r="B56" s="101">
        <v>18.45</v>
      </c>
      <c r="C56" s="102" t="s">
        <v>21</v>
      </c>
    </row>
    <row r="64" spans="2:22" ht="15.75" x14ac:dyDescent="0.25">
      <c r="B64" s="2"/>
    </row>
  </sheetData>
  <phoneticPr fontId="2" type="noConversion"/>
  <pageMargins left="0.19685039370078741" right="0.31496062992125984" top="0.98425196850393704" bottom="0.98425196850393704" header="0.51181102362204722" footer="0.51181102362204722"/>
  <pageSetup paperSize="9" scale="70" orientation="landscape" r:id="rId1"/>
  <headerFooter alignWithMargins="0"/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5"/>
  <sheetViews>
    <sheetView zoomScale="80" workbookViewId="0">
      <selection sqref="A1:XFD1048576"/>
    </sheetView>
  </sheetViews>
  <sheetFormatPr defaultRowHeight="12.75" x14ac:dyDescent="0.2"/>
  <cols>
    <col min="1" max="1" width="2.85546875" style="57" customWidth="1"/>
    <col min="2" max="2" width="25.42578125" style="57" customWidth="1"/>
    <col min="3" max="3" width="13.140625" style="57" customWidth="1"/>
    <col min="4" max="4" width="14.5703125" style="57" customWidth="1"/>
    <col min="5" max="5" width="11" style="57" customWidth="1"/>
    <col min="6" max="6" width="12" style="57" customWidth="1"/>
    <col min="7" max="7" width="14.85546875" style="57" customWidth="1"/>
    <col min="8" max="8" width="17.140625" style="57" customWidth="1"/>
    <col min="9" max="9" width="9.28515625" style="57" bestFit="1" customWidth="1"/>
    <col min="10" max="10" width="12.42578125" style="57" bestFit="1" customWidth="1"/>
    <col min="11" max="16384" width="9.140625" style="57"/>
  </cols>
  <sheetData>
    <row r="2" spans="2:10" x14ac:dyDescent="0.2">
      <c r="B2" s="1" t="s">
        <v>83</v>
      </c>
    </row>
    <row r="4" spans="2:10" ht="38.25" x14ac:dyDescent="0.2">
      <c r="B4" s="88" t="s">
        <v>81</v>
      </c>
      <c r="C4" s="86" t="s">
        <v>41</v>
      </c>
      <c r="D4" s="86" t="str">
        <f>Nex_19!D4</f>
        <v>GE, MJ/day/hd</v>
      </c>
      <c r="E4" s="86" t="s">
        <v>40</v>
      </c>
      <c r="F4" s="53" t="s">
        <v>39</v>
      </c>
      <c r="G4" s="86" t="s">
        <v>82</v>
      </c>
      <c r="H4" s="51" t="s">
        <v>42</v>
      </c>
    </row>
    <row r="5" spans="2:10" ht="51" x14ac:dyDescent="0.2">
      <c r="B5" s="88"/>
      <c r="C5" s="52" t="str">
        <f>D5</f>
        <v>from Enteric fermentation section</v>
      </c>
      <c r="D5" s="52" t="s">
        <v>52</v>
      </c>
      <c r="E5" s="52" t="s">
        <v>52</v>
      </c>
      <c r="F5" s="53"/>
      <c r="G5" s="86" t="s">
        <v>58</v>
      </c>
      <c r="H5" s="51"/>
    </row>
    <row r="6" spans="2:10" x14ac:dyDescent="0.2">
      <c r="B6" s="46" t="s">
        <v>37</v>
      </c>
      <c r="C6" s="48">
        <f>Nex_19!B6</f>
        <v>650</v>
      </c>
      <c r="D6" s="48">
        <f>Enteric_19!K30</f>
        <v>362.42588103066851</v>
      </c>
      <c r="E6" s="89">
        <f>Enteric_19!K5</f>
        <v>0.71</v>
      </c>
      <c r="F6" s="47">
        <v>0.08</v>
      </c>
      <c r="G6" s="50">
        <f t="shared" ref="G6:G24" si="0">(D6*(1-E6)+D6*0.04)*((1-F6)/18.45)</f>
        <v>5.9638210016753916</v>
      </c>
      <c r="H6" s="50">
        <f t="shared" ref="H6:H24" si="1">G6*1000/C6</f>
        <v>9.1751092333467561</v>
      </c>
      <c r="I6" s="92"/>
    </row>
    <row r="7" spans="2:10" x14ac:dyDescent="0.2">
      <c r="B7" s="46" t="s">
        <v>2</v>
      </c>
      <c r="C7" s="48">
        <f>Nex_19!B7</f>
        <v>600</v>
      </c>
      <c r="D7" s="48">
        <f>Enteric_19!K31</f>
        <v>304.62639426518888</v>
      </c>
      <c r="E7" s="89">
        <f>Enteric_19!K6</f>
        <v>0.71</v>
      </c>
      <c r="F7" s="47">
        <v>0.08</v>
      </c>
      <c r="G7" s="50">
        <f t="shared" si="0"/>
        <v>5.0127139999409955</v>
      </c>
      <c r="H7" s="50">
        <f t="shared" si="1"/>
        <v>8.354523333234992</v>
      </c>
      <c r="J7" s="57">
        <f>1000/C7*H7</f>
        <v>13.924205555391653</v>
      </c>
    </row>
    <row r="8" spans="2:10" x14ac:dyDescent="0.2">
      <c r="B8" s="46" t="s">
        <v>34</v>
      </c>
      <c r="C8" s="48">
        <f>Nex_19!B8</f>
        <v>550</v>
      </c>
      <c r="D8" s="48">
        <f>Enteric_19!K32</f>
        <v>217.69088762827261</v>
      </c>
      <c r="E8" s="89">
        <f>Enteric_19!K7</f>
        <v>0.7</v>
      </c>
      <c r="F8" s="47">
        <v>0.08</v>
      </c>
      <c r="G8" s="50">
        <f t="shared" si="0"/>
        <v>3.6907159701964054</v>
      </c>
      <c r="H8" s="50">
        <f t="shared" si="1"/>
        <v>6.7103926730843737</v>
      </c>
    </row>
    <row r="9" spans="2:10" x14ac:dyDescent="0.2">
      <c r="B9" s="46" t="s">
        <v>35</v>
      </c>
      <c r="C9" s="48">
        <f>Nex_19!B9</f>
        <v>488</v>
      </c>
      <c r="D9" s="48">
        <f>Enteric_19!K33</f>
        <v>218.347511311815</v>
      </c>
      <c r="E9" s="89">
        <f>Enteric_19!K8</f>
        <v>0.77</v>
      </c>
      <c r="F9" s="47">
        <v>0.08</v>
      </c>
      <c r="G9" s="50">
        <f t="shared" si="0"/>
        <v>2.9397030791249237</v>
      </c>
      <c r="H9" s="50">
        <f t="shared" si="1"/>
        <v>6.0239817195182859</v>
      </c>
    </row>
    <row r="10" spans="2:10" x14ac:dyDescent="0.2">
      <c r="B10" s="46" t="s">
        <v>36</v>
      </c>
      <c r="C10" s="48">
        <f>Nex_19!B10</f>
        <v>507.6</v>
      </c>
      <c r="D10" s="48">
        <f>Enteric_19!K34</f>
        <v>205.05965902580957</v>
      </c>
      <c r="E10" s="89">
        <f>Enteric_19!K9</f>
        <v>0.65</v>
      </c>
      <c r="F10" s="47">
        <v>0.08</v>
      </c>
      <c r="G10" s="50">
        <f t="shared" si="0"/>
        <v>3.9878268649572068</v>
      </c>
      <c r="H10" s="50">
        <f t="shared" si="1"/>
        <v>7.8562388986548592</v>
      </c>
    </row>
    <row r="11" spans="2:10" x14ac:dyDescent="0.2">
      <c r="B11" s="90" t="s">
        <v>44</v>
      </c>
      <c r="C11" s="81">
        <f>Nex_19!B11</f>
        <v>500</v>
      </c>
      <c r="D11" s="81">
        <f>Enteric_19!K35</f>
        <v>182.54187350279085</v>
      </c>
      <c r="E11" s="103">
        <f>Enteric_19!K10</f>
        <v>0.65</v>
      </c>
      <c r="F11" s="79">
        <v>0.08</v>
      </c>
      <c r="G11" s="87">
        <f t="shared" si="0"/>
        <v>3.5499200115339491</v>
      </c>
      <c r="H11" s="87">
        <f t="shared" si="1"/>
        <v>7.0998400230678982</v>
      </c>
    </row>
    <row r="12" spans="2:10" x14ac:dyDescent="0.2">
      <c r="B12" s="90" t="s">
        <v>45</v>
      </c>
      <c r="C12" s="81">
        <f>Nex_19!B12</f>
        <v>520</v>
      </c>
      <c r="D12" s="81">
        <f>Enteric_19!K36</f>
        <v>241.79448012128725</v>
      </c>
      <c r="E12" s="103">
        <f>Enteric_19!K11</f>
        <v>0.65</v>
      </c>
      <c r="F12" s="79">
        <v>0.08</v>
      </c>
      <c r="G12" s="87">
        <f t="shared" si="0"/>
        <v>4.7022146052855218</v>
      </c>
      <c r="H12" s="87">
        <f t="shared" si="1"/>
        <v>9.0427203947798489</v>
      </c>
    </row>
    <row r="13" spans="2:10" x14ac:dyDescent="0.2">
      <c r="B13" s="46" t="s">
        <v>3</v>
      </c>
      <c r="C13" s="48">
        <f>Nex_19!B13</f>
        <v>386.2</v>
      </c>
      <c r="D13" s="48">
        <f>Enteric_19!K37</f>
        <v>183.80451461444855</v>
      </c>
      <c r="E13" s="89">
        <f>Enteric_19!K12</f>
        <v>0.66200000000000003</v>
      </c>
      <c r="F13" s="47">
        <v>0.08</v>
      </c>
      <c r="G13" s="50">
        <f t="shared" si="0"/>
        <v>3.4644909486352646</v>
      </c>
      <c r="H13" s="50">
        <f t="shared" si="1"/>
        <v>8.9707171119504512</v>
      </c>
    </row>
    <row r="14" spans="2:10" x14ac:dyDescent="0.2">
      <c r="B14" s="90" t="str">
        <f>B11</f>
        <v>…low productivity systems</v>
      </c>
      <c r="C14" s="81">
        <f>Nex_19!B14</f>
        <v>355</v>
      </c>
      <c r="D14" s="81">
        <f>Enteric_19!K38</f>
        <v>167.0818107465569</v>
      </c>
      <c r="E14" s="103">
        <f>Enteric_19!K13</f>
        <v>0.65</v>
      </c>
      <c r="F14" s="79">
        <v>0.08</v>
      </c>
      <c r="G14" s="87">
        <f t="shared" si="0"/>
        <v>3.249265782973692</v>
      </c>
      <c r="H14" s="87">
        <f t="shared" si="1"/>
        <v>9.1528613604892719</v>
      </c>
    </row>
    <row r="15" spans="2:10" x14ac:dyDescent="0.2">
      <c r="B15" s="90" t="str">
        <f>B12</f>
        <v>…high-productivity systems</v>
      </c>
      <c r="C15" s="81">
        <f>Nex_19!B15</f>
        <v>485</v>
      </c>
      <c r="D15" s="81">
        <f>Enteric_19!K39</f>
        <v>232.30396494689253</v>
      </c>
      <c r="E15" s="103">
        <f>Enteric_19!K14</f>
        <v>0.7</v>
      </c>
      <c r="F15" s="79">
        <v>0.08</v>
      </c>
      <c r="G15" s="87">
        <f t="shared" si="0"/>
        <v>3.9384650534085637</v>
      </c>
      <c r="H15" s="87">
        <f t="shared" si="1"/>
        <v>8.1205465018733261</v>
      </c>
    </row>
    <row r="16" spans="2:10" x14ac:dyDescent="0.2">
      <c r="B16" s="46" t="s">
        <v>10</v>
      </c>
      <c r="C16" s="48">
        <f>Nex_19!B16</f>
        <v>260.2</v>
      </c>
      <c r="D16" s="48">
        <f>Enteric_19!K40</f>
        <v>177.10859002933645</v>
      </c>
      <c r="E16" s="89">
        <f>Enteric_19!K15</f>
        <v>0.50509999999999999</v>
      </c>
      <c r="F16" s="47">
        <v>0.08</v>
      </c>
      <c r="G16" s="50">
        <f t="shared" si="0"/>
        <v>4.7239324673255672</v>
      </c>
      <c r="H16" s="50">
        <f t="shared" si="1"/>
        <v>18.155005639222011</v>
      </c>
    </row>
    <row r="17" spans="2:11" x14ac:dyDescent="0.2">
      <c r="B17" s="90" t="str">
        <f>B14</f>
        <v>…low productivity systems</v>
      </c>
      <c r="C17" s="81">
        <f>Nex_19!B17</f>
        <v>270</v>
      </c>
      <c r="D17" s="81">
        <f>Enteric_19!K41</f>
        <v>155.11000634767862</v>
      </c>
      <c r="E17" s="103">
        <f>Enteric_19!K16</f>
        <v>0.51</v>
      </c>
      <c r="F17" s="79">
        <v>0.08</v>
      </c>
      <c r="G17" s="87">
        <f t="shared" si="0"/>
        <v>4.0992758317142606</v>
      </c>
      <c r="H17" s="87">
        <f t="shared" si="1"/>
        <v>15.182503080423187</v>
      </c>
    </row>
    <row r="18" spans="2:11" x14ac:dyDescent="0.2">
      <c r="B18" s="90" t="str">
        <f>B15</f>
        <v>…high-productivity systems</v>
      </c>
      <c r="C18" s="81">
        <f>Nex_19!B18</f>
        <v>250</v>
      </c>
      <c r="D18" s="81">
        <f>Enteric_19!K42</f>
        <v>201.36252518013839</v>
      </c>
      <c r="E18" s="103">
        <f>Enteric_19!K17</f>
        <v>0.5</v>
      </c>
      <c r="F18" s="79">
        <v>0.08</v>
      </c>
      <c r="G18" s="87">
        <f t="shared" si="0"/>
        <v>5.4220543365578733</v>
      </c>
      <c r="H18" s="87">
        <f t="shared" si="1"/>
        <v>21.688217346231493</v>
      </c>
    </row>
    <row r="19" spans="2:11" x14ac:dyDescent="0.2">
      <c r="B19" s="46" t="s">
        <v>28</v>
      </c>
      <c r="C19" s="48">
        <f>Nex_19!B19</f>
        <v>349.20000000000005</v>
      </c>
      <c r="D19" s="48">
        <f>Enteric_19!K43</f>
        <v>177.52592149352313</v>
      </c>
      <c r="E19" s="89">
        <f>Enteric_19!K18</f>
        <v>0.61650000000000005</v>
      </c>
      <c r="F19" s="47">
        <v>0.08</v>
      </c>
      <c r="G19" s="50">
        <f t="shared" si="0"/>
        <v>3.7489240938919504</v>
      </c>
      <c r="H19" s="50">
        <f t="shared" si="1"/>
        <v>10.735750555246133</v>
      </c>
    </row>
    <row r="20" spans="2:11" x14ac:dyDescent="0.2">
      <c r="B20" s="90" t="str">
        <f>B17</f>
        <v>…low productivity systems</v>
      </c>
      <c r="C20" s="81">
        <f>Nex_19!B20</f>
        <v>270</v>
      </c>
      <c r="D20" s="81">
        <f>Enteric_19!K44</f>
        <v>145.34159773213406</v>
      </c>
      <c r="E20" s="103">
        <f>Enteric_19!K19</f>
        <v>0.6</v>
      </c>
      <c r="F20" s="79">
        <v>0.08</v>
      </c>
      <c r="G20" s="87">
        <f t="shared" si="0"/>
        <v>3.1888497973966325</v>
      </c>
      <c r="H20" s="87">
        <f t="shared" si="1"/>
        <v>11.810554805172714</v>
      </c>
    </row>
    <row r="21" spans="2:11" x14ac:dyDescent="0.2">
      <c r="B21" s="90" t="str">
        <f>B18</f>
        <v>…high-productivity systems</v>
      </c>
      <c r="C21" s="81">
        <f>Nex_19!B21</f>
        <v>510</v>
      </c>
      <c r="D21" s="81">
        <f>Enteric_19!K45</f>
        <v>221.94244198643952</v>
      </c>
      <c r="E21" s="103">
        <f>Enteric_19!K20</f>
        <v>0.65</v>
      </c>
      <c r="F21" s="79">
        <v>0.08</v>
      </c>
      <c r="G21" s="87">
        <f t="shared" si="0"/>
        <v>4.3161489531021413</v>
      </c>
      <c r="H21" s="87">
        <f t="shared" si="1"/>
        <v>8.4630371629453762</v>
      </c>
    </row>
    <row r="22" spans="2:11" x14ac:dyDescent="0.2">
      <c r="B22" s="46" t="s">
        <v>46</v>
      </c>
      <c r="C22" s="48">
        <f>Nex_19!B22</f>
        <v>284.55</v>
      </c>
      <c r="D22" s="48">
        <f>Enteric_19!K46</f>
        <v>172.19989260892254</v>
      </c>
      <c r="E22" s="89">
        <f>Enteric_19!K21</f>
        <v>0.57300000000000006</v>
      </c>
      <c r="F22" s="47">
        <v>0.08</v>
      </c>
      <c r="G22" s="50">
        <f t="shared" si="0"/>
        <v>4.009970832547288</v>
      </c>
      <c r="H22" s="50">
        <f t="shared" si="1"/>
        <v>14.092324134764674</v>
      </c>
    </row>
    <row r="23" spans="2:11" x14ac:dyDescent="0.2">
      <c r="B23" s="90" t="str">
        <f>B20</f>
        <v>…low productivity systems</v>
      </c>
      <c r="C23" s="81">
        <f>Nex_19!B23</f>
        <v>265</v>
      </c>
      <c r="D23" s="81">
        <f>Enteric_19!K47</f>
        <v>174.65756304252417</v>
      </c>
      <c r="E23" s="103">
        <f>Enteric_19!K22</f>
        <v>0.55000000000000004</v>
      </c>
      <c r="F23" s="79">
        <v>0.08</v>
      </c>
      <c r="G23" s="87">
        <f t="shared" si="0"/>
        <v>4.2675137896785849</v>
      </c>
      <c r="H23" s="87">
        <f t="shared" si="1"/>
        <v>16.103825621428619</v>
      </c>
    </row>
    <row r="24" spans="2:11" x14ac:dyDescent="0.2">
      <c r="B24" s="90" t="str">
        <f>B21</f>
        <v>…high-productivity systems</v>
      </c>
      <c r="C24" s="81">
        <f>Nex_19!B24</f>
        <v>350</v>
      </c>
      <c r="D24" s="81">
        <f>Enteric_19!K48</f>
        <v>163.46058581005997</v>
      </c>
      <c r="E24" s="103">
        <f>Enteric_19!K23</f>
        <v>0.65</v>
      </c>
      <c r="F24" s="79">
        <v>0.08</v>
      </c>
      <c r="G24" s="87">
        <f t="shared" si="0"/>
        <v>3.1788432622574261</v>
      </c>
      <c r="H24" s="87">
        <f t="shared" si="1"/>
        <v>9.0824093207355023</v>
      </c>
    </row>
    <row r="25" spans="2:11" x14ac:dyDescent="0.2">
      <c r="C25" s="104"/>
      <c r="G25" s="35"/>
      <c r="H25" s="35"/>
    </row>
    <row r="29" spans="2:11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2:11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2:11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2:1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2:1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2:1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2:1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</row>
  </sheetData>
  <phoneticPr fontId="2" type="noConversion"/>
  <pageMargins left="0.75" right="0.75" top="1" bottom="1" header="0.5" footer="0.5"/>
  <pageSetup paperSize="9" orientation="landscape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1"/>
  <sheetViews>
    <sheetView tabSelected="1" zoomScale="70" zoomScaleNormal="70" workbookViewId="0">
      <selection sqref="A1:XFD1048576"/>
    </sheetView>
  </sheetViews>
  <sheetFormatPr defaultRowHeight="12.75" x14ac:dyDescent="0.2"/>
  <cols>
    <col min="1" max="1" width="28.7109375" style="57" customWidth="1"/>
    <col min="2" max="2" width="11.5703125" style="57" customWidth="1"/>
    <col min="3" max="3" width="10.42578125" style="57" customWidth="1"/>
    <col min="4" max="4" width="11.5703125" style="57" customWidth="1"/>
    <col min="5" max="5" width="11.85546875" style="57" customWidth="1"/>
    <col min="6" max="6" width="11.42578125" style="57" customWidth="1"/>
    <col min="7" max="7" width="12.5703125" style="57" customWidth="1"/>
    <col min="8" max="8" width="12.7109375" style="57" customWidth="1"/>
    <col min="9" max="9" width="12.5703125" style="35" customWidth="1"/>
    <col min="10" max="10" width="11.85546875" style="35" customWidth="1"/>
    <col min="11" max="11" width="14.85546875" style="57" customWidth="1"/>
    <col min="12" max="12" width="19.28515625" style="57" customWidth="1"/>
    <col min="13" max="13" width="21.5703125" style="57" customWidth="1"/>
    <col min="14" max="16384" width="9.140625" style="57"/>
  </cols>
  <sheetData>
    <row r="2" spans="1:14" x14ac:dyDescent="0.2">
      <c r="A2" s="1" t="s">
        <v>86</v>
      </c>
    </row>
    <row r="3" spans="1:14" x14ac:dyDescent="0.2">
      <c r="L3" s="35"/>
      <c r="M3" s="35"/>
    </row>
    <row r="4" spans="1:14" ht="38.25" x14ac:dyDescent="0.2">
      <c r="A4" s="42" t="s">
        <v>74</v>
      </c>
      <c r="B4" s="105" t="s">
        <v>27</v>
      </c>
      <c r="C4" s="43" t="s">
        <v>80</v>
      </c>
      <c r="D4" s="43" t="s">
        <v>25</v>
      </c>
      <c r="E4" s="43" t="s">
        <v>24</v>
      </c>
      <c r="F4" s="43" t="s">
        <v>51</v>
      </c>
      <c r="G4" s="43" t="str">
        <f>Enteric_19!F4</f>
        <v>Milk, kg/day</v>
      </c>
      <c r="H4" s="105" t="s">
        <v>26</v>
      </c>
      <c r="I4" s="43" t="s">
        <v>79</v>
      </c>
      <c r="J4" s="43" t="s">
        <v>43</v>
      </c>
      <c r="K4" s="43" t="s">
        <v>54</v>
      </c>
      <c r="L4" s="44" t="s">
        <v>38</v>
      </c>
      <c r="M4" s="44" t="s">
        <v>77</v>
      </c>
    </row>
    <row r="5" spans="1:14" ht="51" x14ac:dyDescent="0.2">
      <c r="A5" s="42"/>
      <c r="B5" s="45" t="s">
        <v>52</v>
      </c>
      <c r="C5" s="43" t="s">
        <v>56</v>
      </c>
      <c r="D5" s="45" t="s">
        <v>52</v>
      </c>
      <c r="E5" s="45" t="s">
        <v>52</v>
      </c>
      <c r="F5" s="43" t="s">
        <v>75</v>
      </c>
      <c r="G5" s="45" t="s">
        <v>52</v>
      </c>
      <c r="H5" s="45" t="s">
        <v>52</v>
      </c>
      <c r="I5" s="43" t="s">
        <v>57</v>
      </c>
      <c r="J5" s="43" t="s">
        <v>76</v>
      </c>
      <c r="K5" s="45" t="s">
        <v>55</v>
      </c>
      <c r="L5" s="43" t="s">
        <v>53</v>
      </c>
      <c r="M5" s="43" t="s">
        <v>78</v>
      </c>
    </row>
    <row r="6" spans="1:14" x14ac:dyDescent="0.2">
      <c r="A6" s="46" t="s">
        <v>37</v>
      </c>
      <c r="B6" s="47">
        <f>Enteric_19!C5</f>
        <v>650</v>
      </c>
      <c r="C6" s="40">
        <f>D6/18.45*(E6/6.25)</f>
        <v>0.52487910792083803</v>
      </c>
      <c r="D6" s="48">
        <f>Enteric_19!K30</f>
        <v>362.42588103066851</v>
      </c>
      <c r="E6" s="49">
        <f>Enteric_19!M5</f>
        <v>0.16700000000000001</v>
      </c>
      <c r="F6" s="48">
        <f t="shared" ref="F6:F18" si="0">C6*365</f>
        <v>191.58087439110588</v>
      </c>
      <c r="G6" s="50">
        <f>Enteric_19!F5</f>
        <v>28</v>
      </c>
      <c r="H6" s="49">
        <f>Enteric_19!H5</f>
        <v>3.2000000000000001E-2</v>
      </c>
      <c r="I6" s="40">
        <f>G6*H6/6.38</f>
        <v>0.14043887147335424</v>
      </c>
      <c r="J6" s="48">
        <f t="shared" ref="J6:J24" si="1">I6*365</f>
        <v>51.260188087774296</v>
      </c>
      <c r="K6" s="48">
        <f>F6-J6</f>
        <v>140.32068630333157</v>
      </c>
      <c r="L6" s="40">
        <f>(K6*1000/B6)/365</f>
        <v>0.59144651761151346</v>
      </c>
      <c r="M6" s="40">
        <f>I6/C6</f>
        <v>0.26756422451193301</v>
      </c>
      <c r="N6" s="106"/>
    </row>
    <row r="7" spans="1:14" x14ac:dyDescent="0.2">
      <c r="A7" s="46" t="s">
        <v>2</v>
      </c>
      <c r="B7" s="47">
        <f>Enteric_19!C6</f>
        <v>600</v>
      </c>
      <c r="C7" s="40">
        <f t="shared" ref="C7:C24" si="2">D7/18.45*(E7/6.25)</f>
        <v>0.42532118787378143</v>
      </c>
      <c r="D7" s="48">
        <f>Enteric_19!K31</f>
        <v>304.62639426518888</v>
      </c>
      <c r="E7" s="49">
        <f>Enteric_19!M6</f>
        <v>0.161</v>
      </c>
      <c r="F7" s="48">
        <f t="shared" si="0"/>
        <v>155.24223357393021</v>
      </c>
      <c r="G7" s="47">
        <f>Enteric_19!F6</f>
        <v>20.3</v>
      </c>
      <c r="H7" s="49">
        <f>Enteric_19!H6</f>
        <v>3.2000000000000001E-2</v>
      </c>
      <c r="I7" s="40">
        <f t="shared" ref="I7:I24" si="3">G7*H7/6.38</f>
        <v>0.10181818181818184</v>
      </c>
      <c r="J7" s="48">
        <f t="shared" si="1"/>
        <v>37.163636363636371</v>
      </c>
      <c r="K7" s="48">
        <f t="shared" ref="K7:K24" si="4">F7-J7</f>
        <v>118.07859721029384</v>
      </c>
      <c r="L7" s="40">
        <f t="shared" ref="L7:L24" si="5">K7*1000/B7/365</f>
        <v>0.53917167675933264</v>
      </c>
      <c r="M7" s="40">
        <f t="shared" ref="M7:M24" si="6">I7/C7</f>
        <v>0.23939127586655162</v>
      </c>
      <c r="N7" s="106"/>
    </row>
    <row r="8" spans="1:14" x14ac:dyDescent="0.2">
      <c r="A8" s="46" t="s">
        <v>34</v>
      </c>
      <c r="B8" s="47">
        <f>Enteric_19!C7</f>
        <v>550</v>
      </c>
      <c r="C8" s="40">
        <f t="shared" si="2"/>
        <v>0.28506297263409575</v>
      </c>
      <c r="D8" s="48">
        <f>Enteric_19!K32</f>
        <v>217.69088762827261</v>
      </c>
      <c r="E8" s="49">
        <f>Enteric_19!M7</f>
        <v>0.151</v>
      </c>
      <c r="F8" s="48">
        <f t="shared" si="0"/>
        <v>104.04798501144495</v>
      </c>
      <c r="G8" s="47">
        <f>Enteric_19!F7</f>
        <v>10.9</v>
      </c>
      <c r="H8" s="49">
        <f>Enteric_19!H7</f>
        <v>3.2000000000000001E-2</v>
      </c>
      <c r="I8" s="40">
        <f t="shared" si="3"/>
        <v>5.4670846394984325E-2</v>
      </c>
      <c r="J8" s="48">
        <f t="shared" si="1"/>
        <v>19.95485893416928</v>
      </c>
      <c r="K8" s="48">
        <f t="shared" si="4"/>
        <v>84.09312607727567</v>
      </c>
      <c r="L8" s="40">
        <f t="shared" si="5"/>
        <v>0.41889477498020256</v>
      </c>
      <c r="M8" s="40">
        <f t="shared" si="6"/>
        <v>0.19178515501260604</v>
      </c>
      <c r="N8" s="106"/>
    </row>
    <row r="9" spans="1:14" x14ac:dyDescent="0.2">
      <c r="A9" s="46" t="s">
        <v>35</v>
      </c>
      <c r="B9" s="47">
        <f>Enteric_19!C8</f>
        <v>488</v>
      </c>
      <c r="C9" s="40">
        <f>D9/18.45*(E9/6.25)</f>
        <v>0.4222568674040954</v>
      </c>
      <c r="D9" s="48">
        <f>Enteric_19!K33</f>
        <v>218.347511311815</v>
      </c>
      <c r="E9" s="49">
        <f>Enteric_19!M8</f>
        <v>0.223</v>
      </c>
      <c r="F9" s="48">
        <f t="shared" si="0"/>
        <v>154.12375660249484</v>
      </c>
      <c r="G9" s="47">
        <f>Enteric_19!F8</f>
        <v>12.1</v>
      </c>
      <c r="H9" s="49">
        <f>Enteric_19!H8</f>
        <v>3.6999999999999998E-2</v>
      </c>
      <c r="I9" s="40">
        <f t="shared" si="3"/>
        <v>7.0172413793103447E-2</v>
      </c>
      <c r="J9" s="48">
        <f t="shared" si="1"/>
        <v>25.612931034482759</v>
      </c>
      <c r="K9" s="48">
        <f t="shared" si="4"/>
        <v>128.51082556801208</v>
      </c>
      <c r="L9" s="40">
        <f t="shared" si="5"/>
        <v>0.72148453608809826</v>
      </c>
      <c r="M9" s="40">
        <f t="shared" si="6"/>
        <v>0.16618418600152496</v>
      </c>
      <c r="N9" s="106"/>
    </row>
    <row r="10" spans="1:14" x14ac:dyDescent="0.2">
      <c r="A10" s="46" t="s">
        <v>36</v>
      </c>
      <c r="B10" s="48">
        <f>Enteric_19!C9</f>
        <v>507.6</v>
      </c>
      <c r="C10" s="40">
        <f t="shared" si="2"/>
        <v>0.22513216548654735</v>
      </c>
      <c r="D10" s="48">
        <f>Enteric_19!K34</f>
        <v>205.05965902580957</v>
      </c>
      <c r="E10" s="49">
        <f>Enteric_19!M9</f>
        <v>0.12659999999999999</v>
      </c>
      <c r="F10" s="48">
        <f t="shared" si="0"/>
        <v>82.173240402589784</v>
      </c>
      <c r="G10" s="50">
        <f>Enteric_19!F9</f>
        <v>5.6420000000000003</v>
      </c>
      <c r="H10" s="49">
        <f>Enteric_19!H9</f>
        <v>3.1620000000000002E-2</v>
      </c>
      <c r="I10" s="40">
        <f t="shared" si="3"/>
        <v>2.7962388714733548E-2</v>
      </c>
      <c r="J10" s="48">
        <f t="shared" si="1"/>
        <v>10.206271880877745</v>
      </c>
      <c r="K10" s="48">
        <f t="shared" si="4"/>
        <v>71.966968521712033</v>
      </c>
      <c r="L10" s="40">
        <f t="shared" si="5"/>
        <v>0.38843533642989314</v>
      </c>
      <c r="M10" s="40">
        <f t="shared" si="6"/>
        <v>0.12420432528733627</v>
      </c>
      <c r="N10" s="106"/>
    </row>
    <row r="11" spans="1:14" x14ac:dyDescent="0.2">
      <c r="A11" s="90" t="str">
        <f>Enteric_19!B10</f>
        <v>…low productivity systems</v>
      </c>
      <c r="B11" s="79">
        <f>Enteric_19!C10</f>
        <v>500</v>
      </c>
      <c r="C11" s="107">
        <f t="shared" si="2"/>
        <v>0.15830189572057746</v>
      </c>
      <c r="D11" s="81">
        <f>Enteric_19!K35</f>
        <v>182.54187350279085</v>
      </c>
      <c r="E11" s="39">
        <f>Enteric_19!M10</f>
        <v>0.1</v>
      </c>
      <c r="F11" s="81">
        <f t="shared" si="0"/>
        <v>57.780191938010773</v>
      </c>
      <c r="G11" s="79">
        <f>Enteric_19!F10</f>
        <v>3.4</v>
      </c>
      <c r="H11" s="39">
        <f>Enteric_19!H10</f>
        <v>3.2000000000000001E-2</v>
      </c>
      <c r="I11" s="107">
        <f t="shared" si="3"/>
        <v>1.7053291536050157E-2</v>
      </c>
      <c r="J11" s="81">
        <f t="shared" si="1"/>
        <v>6.2244514106583075</v>
      </c>
      <c r="K11" s="81">
        <f t="shared" si="4"/>
        <v>51.555740527352469</v>
      </c>
      <c r="L11" s="41">
        <f t="shared" si="5"/>
        <v>0.28249720836905462</v>
      </c>
      <c r="M11" s="41">
        <f t="shared" si="6"/>
        <v>0.1077263886097191</v>
      </c>
      <c r="N11" s="106"/>
    </row>
    <row r="12" spans="1:14" x14ac:dyDescent="0.2">
      <c r="A12" s="90" t="str">
        <f>Enteric_19!B11</f>
        <v>…high-productivity systems</v>
      </c>
      <c r="B12" s="79">
        <f>Enteric_19!C11</f>
        <v>520</v>
      </c>
      <c r="C12" s="107">
        <f t="shared" si="2"/>
        <v>0.35646665904059699</v>
      </c>
      <c r="D12" s="81">
        <f>Enteric_19!K36</f>
        <v>241.79448012128725</v>
      </c>
      <c r="E12" s="39">
        <f>Enteric_19!M11</f>
        <v>0.17</v>
      </c>
      <c r="F12" s="81">
        <f t="shared" si="0"/>
        <v>130.11033054981789</v>
      </c>
      <c r="G12" s="79">
        <f>Enteric_19!F11</f>
        <v>9.3000000000000007</v>
      </c>
      <c r="H12" s="39">
        <f>Enteric_19!H11</f>
        <v>3.1E-2</v>
      </c>
      <c r="I12" s="107">
        <f t="shared" si="3"/>
        <v>4.5188087774294672E-2</v>
      </c>
      <c r="J12" s="81">
        <f t="shared" si="1"/>
        <v>16.493652037617554</v>
      </c>
      <c r="K12" s="81">
        <f t="shared" si="4"/>
        <v>113.61667851220034</v>
      </c>
      <c r="L12" s="41">
        <f t="shared" si="5"/>
        <v>0.59861263705058132</v>
      </c>
      <c r="M12" s="41">
        <f t="shared" si="6"/>
        <v>0.12676666001784007</v>
      </c>
      <c r="N12" s="106"/>
    </row>
    <row r="13" spans="1:14" x14ac:dyDescent="0.2">
      <c r="A13" s="46" t="s">
        <v>3</v>
      </c>
      <c r="B13" s="48">
        <f>Enteric_19!C12</f>
        <v>386.2</v>
      </c>
      <c r="C13" s="40">
        <f t="shared" si="2"/>
        <v>0.21575960193571173</v>
      </c>
      <c r="D13" s="48">
        <f>Enteric_19!K37</f>
        <v>183.80451461444855</v>
      </c>
      <c r="E13" s="49">
        <f>Enteric_19!M12</f>
        <v>0.13536000000000001</v>
      </c>
      <c r="F13" s="48">
        <f t="shared" si="0"/>
        <v>78.752254706534785</v>
      </c>
      <c r="G13" s="50">
        <f>Enteric_19!F12</f>
        <v>8.86</v>
      </c>
      <c r="H13" s="49">
        <f>Enteric_19!H12</f>
        <v>3.1760000000000004E-2</v>
      </c>
      <c r="I13" s="40">
        <f t="shared" si="3"/>
        <v>4.410557993730408E-2</v>
      </c>
      <c r="J13" s="48">
        <f t="shared" si="1"/>
        <v>16.098536677115991</v>
      </c>
      <c r="K13" s="48">
        <f t="shared" si="4"/>
        <v>62.653718029418798</v>
      </c>
      <c r="L13" s="40">
        <f t="shared" si="5"/>
        <v>0.44446924391094683</v>
      </c>
      <c r="M13" s="40">
        <f t="shared" si="6"/>
        <v>0.20442000977757593</v>
      </c>
      <c r="N13" s="106"/>
    </row>
    <row r="14" spans="1:14" x14ac:dyDescent="0.2">
      <c r="A14" s="90" t="str">
        <f>A11</f>
        <v>…low productivity systems</v>
      </c>
      <c r="B14" s="79">
        <f>Enteric_19!C13</f>
        <v>355</v>
      </c>
      <c r="C14" s="107">
        <f t="shared" si="2"/>
        <v>0.1825674419864817</v>
      </c>
      <c r="D14" s="81">
        <f>Enteric_19!K38</f>
        <v>167.0818107465569</v>
      </c>
      <c r="E14" s="39">
        <f>Enteric_19!M13</f>
        <v>0.126</v>
      </c>
      <c r="F14" s="81">
        <f t="shared" si="0"/>
        <v>66.637116325065819</v>
      </c>
      <c r="G14" s="79">
        <f>Enteric_19!F13</f>
        <v>7.3</v>
      </c>
      <c r="H14" s="39">
        <f>Enteric_19!H13</f>
        <v>3.2000000000000001E-2</v>
      </c>
      <c r="I14" s="107">
        <f t="shared" si="3"/>
        <v>3.6614420062695927E-2</v>
      </c>
      <c r="J14" s="81">
        <f t="shared" si="1"/>
        <v>13.364263322884014</v>
      </c>
      <c r="K14" s="81">
        <f t="shared" si="4"/>
        <v>53.272853002181805</v>
      </c>
      <c r="L14" s="41">
        <f t="shared" si="5"/>
        <v>0.41113527302474867</v>
      </c>
      <c r="M14" s="41">
        <f t="shared" si="6"/>
        <v>0.20055284591984951</v>
      </c>
      <c r="N14" s="106"/>
    </row>
    <row r="15" spans="1:14" x14ac:dyDescent="0.2">
      <c r="A15" s="90" t="str">
        <f>A12</f>
        <v>…high-productivity systems</v>
      </c>
      <c r="B15" s="79">
        <f>Enteric_19!C14</f>
        <v>485</v>
      </c>
      <c r="C15" s="107">
        <f t="shared" si="2"/>
        <v>0.33240242138742343</v>
      </c>
      <c r="D15" s="81">
        <f>Enteric_19!K39</f>
        <v>232.30396494689253</v>
      </c>
      <c r="E15" s="39">
        <f>Enteric_19!M14</f>
        <v>0.16500000000000001</v>
      </c>
      <c r="F15" s="81">
        <f t="shared" si="0"/>
        <v>121.32688380640955</v>
      </c>
      <c r="G15" s="79">
        <f>Enteric_19!F14</f>
        <v>13.8</v>
      </c>
      <c r="H15" s="39">
        <f>Enteric_19!H14</f>
        <v>3.1E-2</v>
      </c>
      <c r="I15" s="107">
        <f t="shared" si="3"/>
        <v>6.7053291536050164E-2</v>
      </c>
      <c r="J15" s="81">
        <f t="shared" si="1"/>
        <v>24.474451410658311</v>
      </c>
      <c r="K15" s="81">
        <f t="shared" si="4"/>
        <v>96.852432395751237</v>
      </c>
      <c r="L15" s="41">
        <f t="shared" si="5"/>
        <v>0.5471116079409758</v>
      </c>
      <c r="M15" s="41">
        <f t="shared" si="6"/>
        <v>0.20172323431392172</v>
      </c>
      <c r="N15" s="106"/>
    </row>
    <row r="16" spans="1:14" x14ac:dyDescent="0.2">
      <c r="A16" s="46" t="s">
        <v>72</v>
      </c>
      <c r="B16" s="48">
        <f>Enteric_19!C15</f>
        <v>260.2</v>
      </c>
      <c r="C16" s="40">
        <f t="shared" si="2"/>
        <v>0.13389985369112242</v>
      </c>
      <c r="D16" s="48">
        <f>Enteric_19!K40</f>
        <v>177.10859002933645</v>
      </c>
      <c r="E16" s="49">
        <f>Enteric_19!M15</f>
        <v>8.7180000000000007E-2</v>
      </c>
      <c r="F16" s="48">
        <f>C16*365</f>
        <v>48.873446597259687</v>
      </c>
      <c r="G16" s="50">
        <f>Enteric_19!F15</f>
        <v>3.4540000000000002</v>
      </c>
      <c r="H16" s="49">
        <f>Enteric_19!H15/100</f>
        <v>3.6000000000000004E-2</v>
      </c>
      <c r="I16" s="40">
        <f t="shared" si="3"/>
        <v>1.9489655172413797E-2</v>
      </c>
      <c r="J16" s="80">
        <f t="shared" si="1"/>
        <v>7.1137241379310359</v>
      </c>
      <c r="K16" s="80">
        <f t="shared" si="4"/>
        <v>41.75972245932865</v>
      </c>
      <c r="L16" s="40">
        <f t="shared" si="5"/>
        <v>0.4397009935384652</v>
      </c>
      <c r="M16" s="40">
        <f t="shared" si="6"/>
        <v>0.14555396914302948</v>
      </c>
      <c r="N16" s="106"/>
    </row>
    <row r="17" spans="1:14" x14ac:dyDescent="0.2">
      <c r="A17" s="90" t="str">
        <f>A14</f>
        <v>…low productivity systems</v>
      </c>
      <c r="B17" s="79">
        <f>Enteric_19!C16</f>
        <v>270</v>
      </c>
      <c r="C17" s="107">
        <f>D17/18.45*(E17/6.25)</f>
        <v>0.12913223292684792</v>
      </c>
      <c r="D17" s="81">
        <f>Enteric_19!K41</f>
        <v>155.11000634767862</v>
      </c>
      <c r="E17" s="39">
        <f>Enteric_19!M16</f>
        <v>9.6000000000000002E-2</v>
      </c>
      <c r="F17" s="81">
        <f t="shared" si="0"/>
        <v>47.13326501829949</v>
      </c>
      <c r="G17" s="79">
        <f>Enteric_19!F16</f>
        <v>1.2</v>
      </c>
      <c r="H17" s="39">
        <f>Enteric_19!H16/100</f>
        <v>3.6000000000000004E-2</v>
      </c>
      <c r="I17" s="107">
        <f>G17*H17/6.38</f>
        <v>6.7711598746081512E-3</v>
      </c>
      <c r="J17" s="81">
        <f t="shared" si="1"/>
        <v>2.4714733542319753</v>
      </c>
      <c r="K17" s="81">
        <f t="shared" si="4"/>
        <v>44.661791664067515</v>
      </c>
      <c r="L17" s="41">
        <f t="shared" si="5"/>
        <v>0.45318915945273991</v>
      </c>
      <c r="M17" s="41">
        <f t="shared" si="6"/>
        <v>5.2435861450982141E-2</v>
      </c>
      <c r="N17" s="106"/>
    </row>
    <row r="18" spans="1:14" x14ac:dyDescent="0.2">
      <c r="A18" s="90" t="str">
        <f>A15</f>
        <v>…high-productivity systems</v>
      </c>
      <c r="B18" s="79">
        <f>Enteric_19!C17</f>
        <v>250</v>
      </c>
      <c r="C18" s="107">
        <f t="shared" si="2"/>
        <v>0.13620619589420743</v>
      </c>
      <c r="D18" s="81">
        <f>Enteric_19!K42</f>
        <v>201.36252518013839</v>
      </c>
      <c r="E18" s="39">
        <f>Enteric_19!M17</f>
        <v>7.8E-2</v>
      </c>
      <c r="F18" s="81">
        <f t="shared" si="0"/>
        <v>49.715261501385712</v>
      </c>
      <c r="G18" s="79">
        <f>Enteric_19!F17</f>
        <v>5.8</v>
      </c>
      <c r="H18" s="39">
        <f>Enteric_19!H17/100</f>
        <v>3.6000000000000004E-2</v>
      </c>
      <c r="I18" s="107">
        <f t="shared" si="3"/>
        <v>3.272727272727273E-2</v>
      </c>
      <c r="J18" s="81">
        <f t="shared" si="1"/>
        <v>11.945454545454547</v>
      </c>
      <c r="K18" s="81">
        <f t="shared" si="4"/>
        <v>37.769806955931166</v>
      </c>
      <c r="L18" s="41">
        <f t="shared" si="5"/>
        <v>0.41391569266773887</v>
      </c>
      <c r="M18" s="41">
        <f t="shared" si="6"/>
        <v>0.24027741552001272</v>
      </c>
      <c r="N18" s="106"/>
    </row>
    <row r="19" spans="1:14" x14ac:dyDescent="0.2">
      <c r="A19" s="46" t="str">
        <f>Enteric_19!B18</f>
        <v>Middle East</v>
      </c>
      <c r="B19" s="48">
        <f>Enteric_19!C18</f>
        <v>349.20000000000005</v>
      </c>
      <c r="C19" s="40">
        <f>D19/18.45*(E19/6.25)</f>
        <v>0.20920539812903946</v>
      </c>
      <c r="D19" s="48">
        <f>Enteric_19!K43</f>
        <v>177.52592149352313</v>
      </c>
      <c r="E19" s="49">
        <f>Enteric_19!M18</f>
        <v>0.13589000000000001</v>
      </c>
      <c r="F19" s="48">
        <f>C19*365</f>
        <v>76.359970317099396</v>
      </c>
      <c r="G19" s="50">
        <f>Enteric_19!F18</f>
        <v>5.91</v>
      </c>
      <c r="H19" s="49">
        <f>Enteric_19!H18</f>
        <v>3.5349999999999999E-2</v>
      </c>
      <c r="I19" s="40">
        <f t="shared" si="3"/>
        <v>3.2745846394984325E-2</v>
      </c>
      <c r="J19" s="48">
        <f t="shared" si="1"/>
        <v>11.952233934169278</v>
      </c>
      <c r="K19" s="48">
        <f t="shared" si="4"/>
        <v>64.407736382930125</v>
      </c>
      <c r="L19" s="40">
        <f>K19*1000/B19/365</f>
        <v>0.50532517678709943</v>
      </c>
      <c r="M19" s="40">
        <f t="shared" si="6"/>
        <v>0.15652486354480413</v>
      </c>
      <c r="N19" s="106"/>
    </row>
    <row r="20" spans="1:14" x14ac:dyDescent="0.2">
      <c r="A20" s="90" t="str">
        <f>A17</f>
        <v>…low productivity systems</v>
      </c>
      <c r="B20" s="79">
        <f>Enteric_19!C19</f>
        <v>270</v>
      </c>
      <c r="C20" s="107">
        <f>D20/18.45*(E20/6.25)</f>
        <v>0.15755186746030794</v>
      </c>
      <c r="D20" s="81">
        <f>Enteric_19!K44</f>
        <v>145.34159773213406</v>
      </c>
      <c r="E20" s="39">
        <f>Enteric_19!M19</f>
        <v>0.125</v>
      </c>
      <c r="F20" s="81">
        <f>C20*365</f>
        <v>57.506431623012396</v>
      </c>
      <c r="G20" s="79">
        <f>Enteric_19!F19</f>
        <v>3.6</v>
      </c>
      <c r="H20" s="39">
        <f>Enteric_19!H19</f>
        <v>3.6999999999999998E-2</v>
      </c>
      <c r="I20" s="107">
        <f>G20*H20/6.38</f>
        <v>2.0877742946708463E-2</v>
      </c>
      <c r="J20" s="81">
        <f>I20*365</f>
        <v>7.6203761755485893</v>
      </c>
      <c r="K20" s="81">
        <f>F20-J20</f>
        <v>49.886055447463804</v>
      </c>
      <c r="L20" s="41">
        <f>K20*1000/B20/365</f>
        <v>0.50620046116147954</v>
      </c>
      <c r="M20" s="41">
        <f t="shared" si="6"/>
        <v>0.13251345911192194</v>
      </c>
      <c r="N20" s="106"/>
    </row>
    <row r="21" spans="1:14" x14ac:dyDescent="0.2">
      <c r="A21" s="90" t="str">
        <f>A18</f>
        <v>…high-productivity systems</v>
      </c>
      <c r="B21" s="79">
        <f>Enteric_19!C20</f>
        <v>510</v>
      </c>
      <c r="C21" s="107">
        <f t="shared" si="2"/>
        <v>0.30410324842369602</v>
      </c>
      <c r="D21" s="81">
        <f>Enteric_19!K45</f>
        <v>221.94244198643952</v>
      </c>
      <c r="E21" s="39">
        <f>Enteric_19!M20</f>
        <v>0.158</v>
      </c>
      <c r="F21" s="81">
        <f>C21*365</f>
        <v>110.99768567464905</v>
      </c>
      <c r="G21" s="79">
        <f>Enteric_19!F20</f>
        <v>10.6</v>
      </c>
      <c r="H21" s="39">
        <f>Enteric_19!H20</f>
        <v>3.2000000000000001E-2</v>
      </c>
      <c r="I21" s="107">
        <f>G21*H21/6.38</f>
        <v>5.3166144200626958E-2</v>
      </c>
      <c r="J21" s="81">
        <f t="shared" si="1"/>
        <v>19.40564263322884</v>
      </c>
      <c r="K21" s="81">
        <f t="shared" si="4"/>
        <v>91.592043041420212</v>
      </c>
      <c r="L21" s="41">
        <f>K21*1000/B21/365</f>
        <v>0.4920335376922923</v>
      </c>
      <c r="M21" s="41">
        <f t="shared" si="6"/>
        <v>0.17482925445950021</v>
      </c>
      <c r="N21" s="106"/>
    </row>
    <row r="22" spans="1:14" x14ac:dyDescent="0.2">
      <c r="A22" s="46" t="s">
        <v>33</v>
      </c>
      <c r="B22" s="48">
        <f>Enteric_19!C21</f>
        <v>284.55</v>
      </c>
      <c r="C22" s="40">
        <f t="shared" si="2"/>
        <v>0.21421853307100222</v>
      </c>
      <c r="D22" s="48">
        <f>Enteric_19!K46</f>
        <v>172.19989260892254</v>
      </c>
      <c r="E22" s="49">
        <f>Enteric_19!M21</f>
        <v>0.14345000000000002</v>
      </c>
      <c r="F22" s="48">
        <f t="shared" ref="F22:F24" si="7">C22*365</f>
        <v>78.189764570915813</v>
      </c>
      <c r="G22" s="50">
        <f>Enteric_19!F21</f>
        <v>5.1749999999999998</v>
      </c>
      <c r="H22" s="49">
        <f>Enteric_19!H21</f>
        <v>3.508E-2</v>
      </c>
      <c r="I22" s="40">
        <f t="shared" si="3"/>
        <v>2.8454388714733544E-2</v>
      </c>
      <c r="J22" s="48">
        <f t="shared" si="1"/>
        <v>10.385851880877743</v>
      </c>
      <c r="K22" s="48">
        <f t="shared" si="4"/>
        <v>67.803912690038075</v>
      </c>
      <c r="L22" s="40">
        <f t="shared" si="5"/>
        <v>0.65283480708581521</v>
      </c>
      <c r="M22" s="40">
        <f t="shared" si="6"/>
        <v>0.13282879079982499</v>
      </c>
      <c r="N22" s="106"/>
    </row>
    <row r="23" spans="1:14" x14ac:dyDescent="0.2">
      <c r="A23" s="90" t="str">
        <f>A20</f>
        <v>…low productivity systems</v>
      </c>
      <c r="B23" s="79">
        <f>Enteric_19!C22</f>
        <v>265</v>
      </c>
      <c r="C23" s="107">
        <f t="shared" si="2"/>
        <v>0.21205037464241422</v>
      </c>
      <c r="D23" s="81">
        <f>Enteric_19!K47</f>
        <v>174.65756304252417</v>
      </c>
      <c r="E23" s="39">
        <f>Enteric_19!M22</f>
        <v>0.14000000000000001</v>
      </c>
      <c r="F23" s="81">
        <f t="shared" si="7"/>
        <v>77.398386744481186</v>
      </c>
      <c r="G23" s="79">
        <f>Enteric_19!F22</f>
        <v>4.5999999999999996</v>
      </c>
      <c r="H23" s="39">
        <f>Enteric_19!H22</f>
        <v>3.5999999999999997E-2</v>
      </c>
      <c r="I23" s="107">
        <f t="shared" si="3"/>
        <v>2.5956112852664571E-2</v>
      </c>
      <c r="J23" s="81">
        <f t="shared" si="1"/>
        <v>9.4739811912225687</v>
      </c>
      <c r="K23" s="81">
        <f t="shared" si="4"/>
        <v>67.924405553258623</v>
      </c>
      <c r="L23" s="41">
        <f t="shared" si="5"/>
        <v>0.70224249731981003</v>
      </c>
      <c r="M23" s="41">
        <f t="shared" si="6"/>
        <v>0.12240540907524924</v>
      </c>
      <c r="N23" s="106"/>
    </row>
    <row r="24" spans="1:14" x14ac:dyDescent="0.2">
      <c r="A24" s="90" t="str">
        <f>A21</f>
        <v>…high-productivity systems</v>
      </c>
      <c r="B24" s="79">
        <f>Enteric_19!C23</f>
        <v>350</v>
      </c>
      <c r="C24" s="107">
        <f t="shared" si="2"/>
        <v>0.21971937821623236</v>
      </c>
      <c r="D24" s="81">
        <f>Enteric_19!K48</f>
        <v>163.46058581005997</v>
      </c>
      <c r="E24" s="39">
        <f>Enteric_19!M23</f>
        <v>0.155</v>
      </c>
      <c r="F24" s="81">
        <f t="shared" si="7"/>
        <v>80.197573048924809</v>
      </c>
      <c r="G24" s="79">
        <f>Enteric_19!F23</f>
        <v>7.1</v>
      </c>
      <c r="H24" s="39">
        <f>Enteric_19!H23</f>
        <v>3.2000000000000001E-2</v>
      </c>
      <c r="I24" s="107">
        <f t="shared" si="3"/>
        <v>3.5611285266457682E-2</v>
      </c>
      <c r="J24" s="81">
        <f t="shared" si="1"/>
        <v>12.998119122257053</v>
      </c>
      <c r="K24" s="81">
        <f t="shared" si="4"/>
        <v>67.199453926667758</v>
      </c>
      <c r="L24" s="41">
        <f t="shared" si="5"/>
        <v>0.52602312271364193</v>
      </c>
      <c r="M24" s="41">
        <f t="shared" si="6"/>
        <v>0.16207621537783326</v>
      </c>
      <c r="N24" s="106"/>
    </row>
    <row r="25" spans="1:14" x14ac:dyDescent="0.2">
      <c r="B25" s="35"/>
      <c r="C25" s="35"/>
      <c r="F25" s="35"/>
      <c r="M25" s="1"/>
    </row>
    <row r="26" spans="1:14" x14ac:dyDescent="0.2">
      <c r="B26" s="35"/>
      <c r="C26" s="35"/>
      <c r="M26" s="1"/>
    </row>
    <row r="27" spans="1:14" x14ac:dyDescent="0.2">
      <c r="C27" s="35"/>
      <c r="K27" s="1"/>
    </row>
    <row r="28" spans="1:14" x14ac:dyDescent="0.2">
      <c r="C28" s="35"/>
      <c r="J28" s="76"/>
    </row>
    <row r="29" spans="1:14" x14ac:dyDescent="0.2">
      <c r="C29" s="35"/>
      <c r="D29" s="35"/>
      <c r="E29" s="35"/>
      <c r="H29" s="35"/>
      <c r="J29" s="76"/>
    </row>
    <row r="30" spans="1:14" x14ac:dyDescent="0.2">
      <c r="J30" s="76"/>
    </row>
    <row r="31" spans="1:14" x14ac:dyDescent="0.2">
      <c r="J31" s="76"/>
    </row>
  </sheetData>
  <phoneticPr fontId="2" type="noConversion"/>
  <pageMargins left="0.25" right="0.25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FC8FEB8568A4E8A46DD6F55BF44C0" ma:contentTypeVersion="7" ma:contentTypeDescription="Create a new document." ma:contentTypeScope="" ma:versionID="49bbd94320cb96796bb1eb24ba395277">
  <xsd:schema xmlns:xsd="http://www.w3.org/2001/XMLSchema" xmlns:xs="http://www.w3.org/2001/XMLSchema" xmlns:p="http://schemas.microsoft.com/office/2006/metadata/properties" xmlns:ns2="20b51df3-9bd5-4eb3-955b-252f8063384c" xmlns:ns3="4faa9c72-9366-46b0-9f83-a55781906e46" targetNamespace="http://schemas.microsoft.com/office/2006/metadata/properties" ma:root="true" ma:fieldsID="5125ca13a4f9b8de077870b4d81eeaeb" ns2:_="" ns3:_="">
    <xsd:import namespace="20b51df3-9bd5-4eb3-955b-252f8063384c"/>
    <xsd:import namespace="4faa9c72-9366-46b0-9f83-a55781906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1df3-9bd5-4eb3-955b-252f8063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a9c72-9366-46b0-9f83-a55781906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D3515-68FF-4B2E-B40F-94D3C1A78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A91C2A-C96E-40E8-9642-D9CCA55BA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51df3-9bd5-4eb3-955b-252f8063384c"/>
    <ds:schemaRef ds:uri="4faa9c72-9366-46b0-9f83-a55781906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1961B-93F8-4D96-A1FB-01622CD836DC}">
  <ds:schemaRefs>
    <ds:schemaRef ds:uri="http://schemas.openxmlformats.org/package/2006/metadata/core-properties"/>
    <ds:schemaRef ds:uri="4faa9c72-9366-46b0-9f83-a55781906e46"/>
    <ds:schemaRef ds:uri="http://schemas.microsoft.com/office/2006/documentManagement/types"/>
    <ds:schemaRef ds:uri="http://purl.org/dc/elements/1.1/"/>
    <ds:schemaRef ds:uri="20b51df3-9bd5-4eb3-955b-252f8063384c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Enteric_19</vt:lpstr>
      <vt:lpstr>VS_19</vt:lpstr>
      <vt:lpstr>Nex_19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Sandro Federici</cp:lastModifiedBy>
  <cp:lastPrinted>2018-11-09T08:10:58Z</cp:lastPrinted>
  <dcterms:created xsi:type="dcterms:W3CDTF">1996-10-14T23:33:28Z</dcterms:created>
  <dcterms:modified xsi:type="dcterms:W3CDTF">2023-05-30T07:40:09Z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0x0101002A6FC8FEB8568A4E8A46DD6F55BF44C0</vt:lpwstr>
  </property>
</Properties>
</file>